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8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9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40.xml" ContentType="application/vnd.openxmlformats-officedocument.drawingml.chart+xml"/>
  <Override PartName="/xl/drawings/drawing11.xml" ContentType="application/vnd.openxmlformats-officedocument.drawing+xml"/>
  <Override PartName="/xl/charts/chart41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42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3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4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5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6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7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lemencethibault/ETHNOART Dropbox/Dossier de l'équipe ETHNOART/COMMUNICATION/FORMATIONS ETHNOART COM/Impacts et indicateurs/Traitement des évaluations formations/"/>
    </mc:Choice>
  </mc:AlternateContent>
  <xr:revisionPtr revIDLastSave="0" documentId="13_ncr:1_{E4432BB3-B3F9-AA43-82FD-99838F52B6E7}" xr6:coauthVersionLast="47" xr6:coauthVersionMax="47" xr10:uidLastSave="{00000000-0000-0000-0000-000000000000}"/>
  <bookViews>
    <workbookView xWindow="580" yWindow="500" windowWidth="28220" windowHeight="15840" firstSheet="2" activeTab="10" xr2:uid="{7B5DAC96-8099-A84E-B8A0-ABDBDD3412C3}"/>
  </bookViews>
  <sheets>
    <sheet name="pratiques religieuses" sheetId="1" r:id="rId1"/>
    <sheet name="genre" sheetId="8" r:id="rId2"/>
    <sheet name="racisme" sheetId="9" r:id="rId3"/>
    <sheet name="famille" sheetId="10" r:id="rId4"/>
    <sheet name="environnement" sheetId="11" r:id="rId5"/>
    <sheet name="différents âge vie" sheetId="14" r:id="rId6"/>
    <sheet name="migrations" sheetId="15" r:id="rId7"/>
    <sheet name="maladie" sheetId="12" r:id="rId8"/>
    <sheet name="plurilinguisme" sheetId="17" r:id="rId9"/>
    <sheet name="discours de haine" sheetId="18" r:id="rId10"/>
    <sheet name="interculturalité" sheetId="20" r:id="rId11"/>
    <sheet name="RECAPITULATIF" sheetId="13" r:id="rId12"/>
    <sheet name="GRAPHIQUES" sheetId="16" r:id="rId1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10" l="1"/>
  <c r="E55" i="10"/>
  <c r="D55" i="10"/>
  <c r="E53" i="10"/>
  <c r="D53" i="10"/>
  <c r="D51" i="10"/>
  <c r="E51" i="10"/>
  <c r="D46" i="10"/>
  <c r="E46" i="10"/>
  <c r="E45" i="10"/>
  <c r="E44" i="10"/>
  <c r="D39" i="10"/>
  <c r="E39" i="10"/>
  <c r="E38" i="10"/>
  <c r="D38" i="10"/>
  <c r="C38" i="10"/>
  <c r="D37" i="10"/>
  <c r="E37" i="10"/>
  <c r="E36" i="10"/>
  <c r="D36" i="10"/>
  <c r="D35" i="10"/>
  <c r="E35" i="10"/>
  <c r="D30" i="10"/>
  <c r="E30" i="10"/>
  <c r="E29" i="10"/>
  <c r="D23" i="10"/>
  <c r="E28" i="10"/>
  <c r="D28" i="10"/>
  <c r="D27" i="10"/>
  <c r="C27" i="10"/>
  <c r="D47" i="9" l="1"/>
  <c r="D45" i="9"/>
  <c r="E45" i="9"/>
  <c r="D43" i="9"/>
  <c r="E43" i="9"/>
  <c r="E42" i="9"/>
  <c r="D42" i="9"/>
  <c r="D37" i="9"/>
  <c r="E37" i="9"/>
  <c r="E36" i="9"/>
  <c r="D36" i="9"/>
  <c r="D35" i="9"/>
  <c r="E35" i="9"/>
  <c r="E30" i="9"/>
  <c r="D30" i="9"/>
  <c r="D29" i="9"/>
  <c r="E29" i="9"/>
  <c r="D28" i="9"/>
  <c r="E28" i="9"/>
  <c r="D27" i="9"/>
  <c r="E27" i="9"/>
  <c r="D26" i="9"/>
  <c r="E26" i="9"/>
  <c r="E21" i="9"/>
  <c r="D21" i="9"/>
  <c r="D20" i="9"/>
  <c r="E20" i="9"/>
  <c r="D19" i="9"/>
  <c r="D18" i="9"/>
  <c r="E18" i="9"/>
  <c r="E19" i="9"/>
  <c r="E17" i="9"/>
  <c r="D17" i="9"/>
  <c r="C17" i="9"/>
  <c r="D51" i="8"/>
  <c r="E51" i="8"/>
  <c r="D49" i="8"/>
  <c r="E49" i="8"/>
  <c r="D47" i="8"/>
  <c r="E47" i="8"/>
  <c r="E46" i="8"/>
  <c r="D41" i="8"/>
  <c r="E41" i="8"/>
  <c r="D40" i="8"/>
  <c r="E40" i="8"/>
  <c r="C39" i="8"/>
  <c r="D39" i="8"/>
  <c r="E39" i="8"/>
  <c r="C34" i="8"/>
  <c r="D34" i="8"/>
  <c r="E34" i="8"/>
  <c r="D33" i="8"/>
  <c r="E33" i="8"/>
  <c r="D32" i="8"/>
  <c r="E32" i="8"/>
  <c r="E31" i="8"/>
  <c r="D31" i="8"/>
  <c r="D30" i="8"/>
  <c r="E30" i="8"/>
  <c r="D25" i="8"/>
  <c r="E25" i="8"/>
  <c r="C24" i="8"/>
  <c r="D24" i="8"/>
  <c r="E24" i="8"/>
  <c r="C23" i="8"/>
  <c r="D23" i="8"/>
  <c r="E23" i="8"/>
  <c r="F21" i="8"/>
  <c r="E21" i="8"/>
  <c r="D21" i="8"/>
  <c r="C21" i="8"/>
  <c r="C25" i="8"/>
  <c r="D42" i="20"/>
  <c r="E40" i="20"/>
  <c r="E38" i="20"/>
  <c r="D38" i="20"/>
  <c r="D37" i="20"/>
  <c r="E37" i="20"/>
  <c r="D32" i="20"/>
  <c r="E32" i="20"/>
  <c r="E31" i="20"/>
  <c r="E30" i="20"/>
  <c r="E25" i="20"/>
  <c r="D25" i="20"/>
  <c r="D24" i="20"/>
  <c r="E24" i="20"/>
  <c r="E23" i="20"/>
  <c r="D23" i="20"/>
  <c r="D22" i="20"/>
  <c r="E22" i="20"/>
  <c r="E21" i="20"/>
  <c r="D21" i="20"/>
  <c r="E16" i="20"/>
  <c r="D16" i="20"/>
  <c r="E15" i="20"/>
  <c r="D15" i="20"/>
  <c r="E14" i="20"/>
  <c r="D14" i="20"/>
  <c r="E12" i="20"/>
  <c r="D12" i="20"/>
  <c r="L6" i="20"/>
  <c r="E42" i="20"/>
  <c r="D40" i="20"/>
  <c r="D30" i="20"/>
  <c r="C24" i="20"/>
  <c r="C23" i="20"/>
  <c r="K5" i="8"/>
  <c r="J5" i="8"/>
  <c r="I5" i="8"/>
  <c r="C33" i="8"/>
  <c r="C32" i="8"/>
  <c r="F33" i="8"/>
  <c r="F18" i="8"/>
  <c r="D18" i="8"/>
  <c r="C18" i="8"/>
  <c r="E9" i="13"/>
  <c r="E55" i="1"/>
  <c r="D55" i="1"/>
  <c r="D54" i="1"/>
  <c r="E54" i="1"/>
  <c r="D52" i="1"/>
  <c r="E52" i="1"/>
  <c r="E50" i="1"/>
  <c r="D50" i="1"/>
  <c r="E45" i="1"/>
  <c r="E44" i="1"/>
  <c r="E43" i="1"/>
  <c r="D45" i="1"/>
  <c r="D44" i="1"/>
  <c r="D43" i="1"/>
  <c r="E38" i="1"/>
  <c r="D38" i="1"/>
  <c r="E37" i="1"/>
  <c r="E36" i="1"/>
  <c r="D37" i="1"/>
  <c r="D36" i="1"/>
  <c r="E35" i="1"/>
  <c r="E34" i="1"/>
  <c r="D35" i="1"/>
  <c r="D34" i="1"/>
  <c r="E29" i="1"/>
  <c r="E28" i="1"/>
  <c r="E27" i="1"/>
  <c r="D29" i="1"/>
  <c r="D28" i="1"/>
  <c r="D27" i="1"/>
  <c r="E25" i="1"/>
  <c r="D25" i="1"/>
  <c r="C25" i="1"/>
  <c r="D22" i="1"/>
  <c r="D56" i="10"/>
  <c r="C56" i="10"/>
  <c r="C53" i="10"/>
  <c r="E52" i="13"/>
  <c r="D45" i="10"/>
  <c r="D50" i="13" s="1"/>
  <c r="D44" i="10"/>
  <c r="D48" i="13" s="1"/>
  <c r="C44" i="10"/>
  <c r="C39" i="10"/>
  <c r="B39" i="10"/>
  <c r="B37" i="10"/>
  <c r="B38" i="13" s="1"/>
  <c r="C37" i="10"/>
  <c r="D34" i="13"/>
  <c r="C35" i="10"/>
  <c r="C34" i="13" s="1"/>
  <c r="D29" i="10"/>
  <c r="C29" i="10"/>
  <c r="B29" i="10"/>
  <c r="B26" i="13" s="1"/>
  <c r="E24" i="13"/>
  <c r="C28" i="10"/>
  <c r="D24" i="13"/>
  <c r="E26" i="10"/>
  <c r="D26" i="10"/>
  <c r="C26" i="10"/>
  <c r="E27" i="10"/>
  <c r="F23" i="10"/>
  <c r="C23" i="10"/>
  <c r="E41" i="20"/>
  <c r="E39" i="20"/>
  <c r="L85" i="20"/>
  <c r="E13" i="20"/>
  <c r="D9" i="20"/>
  <c r="D13" i="13" s="1"/>
  <c r="E47" i="9"/>
  <c r="F14" i="9"/>
  <c r="C14" i="9"/>
  <c r="D14" i="9"/>
  <c r="E53" i="1"/>
  <c r="E51" i="1"/>
  <c r="C38" i="1"/>
  <c r="F22" i="1"/>
  <c r="C22" i="1"/>
  <c r="F9" i="14"/>
  <c r="D9" i="14"/>
  <c r="E54" i="10"/>
  <c r="E52" i="10"/>
  <c r="F30" i="20"/>
  <c r="D50" i="8"/>
  <c r="D66" i="13" s="1"/>
  <c r="E50" i="8"/>
  <c r="E48" i="8"/>
  <c r="D48" i="8"/>
  <c r="D46" i="8"/>
  <c r="C31" i="8"/>
  <c r="C30" i="8"/>
  <c r="D53" i="1"/>
  <c r="D51" i="1"/>
  <c r="D9" i="13"/>
  <c r="C9" i="14"/>
  <c r="C9" i="13"/>
  <c r="E42" i="14"/>
  <c r="E40" i="14"/>
  <c r="E38" i="14"/>
  <c r="E37" i="14"/>
  <c r="D37" i="14"/>
  <c r="E32" i="14"/>
  <c r="E31" i="14"/>
  <c r="E30" i="14"/>
  <c r="E25" i="14"/>
  <c r="D25" i="14"/>
  <c r="E24" i="14"/>
  <c r="D24" i="14"/>
  <c r="E23" i="14"/>
  <c r="D23" i="14"/>
  <c r="E22" i="14"/>
  <c r="D22" i="14"/>
  <c r="E21" i="14"/>
  <c r="D21" i="14"/>
  <c r="E16" i="14"/>
  <c r="E15" i="14"/>
  <c r="D16" i="14"/>
  <c r="D15" i="14"/>
  <c r="E14" i="14"/>
  <c r="D14" i="14"/>
  <c r="E13" i="14"/>
  <c r="D13" i="14"/>
  <c r="D54" i="10"/>
  <c r="D64" i="13" s="1"/>
  <c r="D52" i="10"/>
  <c r="C51" i="8"/>
  <c r="C50" i="8"/>
  <c r="C48" i="8"/>
  <c r="C41" i="8"/>
  <c r="C40" i="8"/>
  <c r="C50" i="13" s="1"/>
  <c r="B34" i="8"/>
  <c r="B33" i="8"/>
  <c r="B40" i="13" s="1"/>
  <c r="B32" i="8"/>
  <c r="B31" i="8"/>
  <c r="B23" i="8"/>
  <c r="B24" i="13" s="1"/>
  <c r="C37" i="1"/>
  <c r="C55" i="10"/>
  <c r="B55" i="10"/>
  <c r="B66" i="13" s="1"/>
  <c r="B53" i="10"/>
  <c r="C52" i="1"/>
  <c r="C34" i="1"/>
  <c r="E26" i="1"/>
  <c r="D26" i="1"/>
  <c r="E12" i="13"/>
  <c r="E11" i="13"/>
  <c r="E8" i="13"/>
  <c r="C51" i="10"/>
  <c r="C54" i="1"/>
  <c r="B52" i="1"/>
  <c r="B62" i="13" s="1"/>
  <c r="B50" i="1"/>
  <c r="B58" i="13" s="1"/>
  <c r="C35" i="1"/>
  <c r="E42" i="12"/>
  <c r="D42" i="12"/>
  <c r="E40" i="12"/>
  <c r="D40" i="12"/>
  <c r="E38" i="12"/>
  <c r="D38" i="12"/>
  <c r="E37" i="12"/>
  <c r="E32" i="12"/>
  <c r="D32" i="12"/>
  <c r="D31" i="12"/>
  <c r="E31" i="12"/>
  <c r="E30" i="12"/>
  <c r="D30" i="12"/>
  <c r="E25" i="12"/>
  <c r="D25" i="12"/>
  <c r="E24" i="12"/>
  <c r="D24" i="12"/>
  <c r="E23" i="12"/>
  <c r="D23" i="12"/>
  <c r="E22" i="12"/>
  <c r="D22" i="12"/>
  <c r="E21" i="12"/>
  <c r="D21" i="12"/>
  <c r="E16" i="12"/>
  <c r="D16" i="12"/>
  <c r="E15" i="12"/>
  <c r="D15" i="12"/>
  <c r="E14" i="12"/>
  <c r="D14" i="12"/>
  <c r="E12" i="12"/>
  <c r="D12" i="12"/>
  <c r="D9" i="12"/>
  <c r="B27" i="10"/>
  <c r="B22" i="13" s="1"/>
  <c r="D46" i="9"/>
  <c r="E46" i="9"/>
  <c r="C46" i="9"/>
  <c r="C44" i="9"/>
  <c r="D44" i="9"/>
  <c r="C27" i="9"/>
  <c r="C20" i="9"/>
  <c r="C18" i="9"/>
  <c r="C36" i="10"/>
  <c r="C36" i="13" s="1"/>
  <c r="C36" i="1"/>
  <c r="C27" i="1"/>
  <c r="C26" i="1"/>
  <c r="C55" i="1"/>
  <c r="C68" i="13" s="1"/>
  <c r="C50" i="1"/>
  <c r="C43" i="1"/>
  <c r="B38" i="1"/>
  <c r="C28" i="1"/>
  <c r="E42" i="18"/>
  <c r="D41" i="18"/>
  <c r="E41" i="18"/>
  <c r="E39" i="18"/>
  <c r="E37" i="18"/>
  <c r="D32" i="18"/>
  <c r="E32" i="18"/>
  <c r="E31" i="18"/>
  <c r="E30" i="18"/>
  <c r="E25" i="18"/>
  <c r="D25" i="18"/>
  <c r="E24" i="18"/>
  <c r="D24" i="18"/>
  <c r="D23" i="18"/>
  <c r="E23" i="18"/>
  <c r="D22" i="18"/>
  <c r="E22" i="18"/>
  <c r="E21" i="18"/>
  <c r="E16" i="18"/>
  <c r="D15" i="18"/>
  <c r="E15" i="18"/>
  <c r="E14" i="18"/>
  <c r="E12" i="18"/>
  <c r="F12" i="18" s="1"/>
  <c r="L53" i="20"/>
  <c r="F37" i="20"/>
  <c r="D13" i="20"/>
  <c r="E42" i="17"/>
  <c r="D42" i="17"/>
  <c r="F42" i="17" s="1"/>
  <c r="E41" i="17"/>
  <c r="D41" i="17"/>
  <c r="D39" i="17"/>
  <c r="E39" i="17"/>
  <c r="E37" i="17"/>
  <c r="D37" i="17"/>
  <c r="D32" i="17"/>
  <c r="E32" i="17"/>
  <c r="E31" i="17"/>
  <c r="D31" i="17"/>
  <c r="E30" i="17"/>
  <c r="C30" i="17"/>
  <c r="E25" i="17"/>
  <c r="D25" i="17"/>
  <c r="F25" i="17" s="1"/>
  <c r="E24" i="17"/>
  <c r="C24" i="17"/>
  <c r="D24" i="17"/>
  <c r="E23" i="17"/>
  <c r="D23" i="17"/>
  <c r="E22" i="17"/>
  <c r="D22" i="17"/>
  <c r="E21" i="17"/>
  <c r="D21" i="17"/>
  <c r="E16" i="17"/>
  <c r="D16" i="17"/>
  <c r="E15" i="17"/>
  <c r="D15" i="17"/>
  <c r="E14" i="17"/>
  <c r="C14" i="17"/>
  <c r="D14" i="17"/>
  <c r="E13" i="17"/>
  <c r="D13" i="17"/>
  <c r="B68" i="13"/>
  <c r="C64" i="13"/>
  <c r="B64" i="13"/>
  <c r="B60" i="13"/>
  <c r="C52" i="13"/>
  <c r="B52" i="13"/>
  <c r="B50" i="13"/>
  <c r="B48" i="13"/>
  <c r="B36" i="13"/>
  <c r="B34" i="13"/>
  <c r="B28" i="13"/>
  <c r="B20" i="13"/>
  <c r="F9" i="17"/>
  <c r="B11" i="13" s="1"/>
  <c r="K85" i="20"/>
  <c r="J85" i="20"/>
  <c r="K53" i="20"/>
  <c r="J53" i="20"/>
  <c r="F42" i="20"/>
  <c r="F41" i="20"/>
  <c r="F40" i="20"/>
  <c r="F39" i="20"/>
  <c r="F38" i="20"/>
  <c r="F32" i="20"/>
  <c r="F31" i="20"/>
  <c r="K27" i="20"/>
  <c r="J27" i="20"/>
  <c r="F25" i="20"/>
  <c r="F24" i="20"/>
  <c r="L27" i="20"/>
  <c r="F21" i="20"/>
  <c r="F16" i="20"/>
  <c r="F15" i="20"/>
  <c r="F14" i="20"/>
  <c r="F13" i="20"/>
  <c r="F9" i="20"/>
  <c r="B13" i="13" s="1"/>
  <c r="C9" i="20"/>
  <c r="C13" i="13" s="1"/>
  <c r="K6" i="20"/>
  <c r="J6" i="20"/>
  <c r="K85" i="18"/>
  <c r="J85" i="18"/>
  <c r="K53" i="18"/>
  <c r="J53" i="18"/>
  <c r="F42" i="18"/>
  <c r="F41" i="18"/>
  <c r="F40" i="18"/>
  <c r="F39" i="18"/>
  <c r="F38" i="18"/>
  <c r="F37" i="18"/>
  <c r="F32" i="18"/>
  <c r="F31" i="18"/>
  <c r="F30" i="18"/>
  <c r="K27" i="18"/>
  <c r="J27" i="18"/>
  <c r="F25" i="18"/>
  <c r="L85" i="18"/>
  <c r="F24" i="18"/>
  <c r="L27" i="18"/>
  <c r="F22" i="18"/>
  <c r="F16" i="18"/>
  <c r="F15" i="18"/>
  <c r="F14" i="18"/>
  <c r="F13" i="18"/>
  <c r="F9" i="18"/>
  <c r="B12" i="13" s="1"/>
  <c r="D9" i="18"/>
  <c r="D12" i="13" s="1"/>
  <c r="C9" i="18"/>
  <c r="C12" i="13" s="1"/>
  <c r="L6" i="18"/>
  <c r="K6" i="18"/>
  <c r="J6" i="18"/>
  <c r="K85" i="17"/>
  <c r="J85" i="17"/>
  <c r="K53" i="17"/>
  <c r="J53" i="17"/>
  <c r="F41" i="17"/>
  <c r="F40" i="17"/>
  <c r="F39" i="17"/>
  <c r="F38" i="17"/>
  <c r="F37" i="17"/>
  <c r="F32" i="17"/>
  <c r="F31" i="17"/>
  <c r="F30" i="17"/>
  <c r="K27" i="17"/>
  <c r="J27" i="17"/>
  <c r="F24" i="17"/>
  <c r="F23" i="17"/>
  <c r="L27" i="17"/>
  <c r="F22" i="17"/>
  <c r="F21" i="17"/>
  <c r="F16" i="17"/>
  <c r="F15" i="17"/>
  <c r="F14" i="17"/>
  <c r="F13" i="17"/>
  <c r="F12" i="17"/>
  <c r="D9" i="17"/>
  <c r="D11" i="13" s="1"/>
  <c r="C9" i="17"/>
  <c r="C11" i="13" s="1"/>
  <c r="L6" i="17"/>
  <c r="K6" i="17"/>
  <c r="J6" i="17"/>
  <c r="D38" i="14"/>
  <c r="D40" i="14"/>
  <c r="D32" i="14"/>
  <c r="D42" i="14"/>
  <c r="D41" i="14"/>
  <c r="C41" i="14"/>
  <c r="B41" i="14"/>
  <c r="E39" i="14"/>
  <c r="D39" i="14"/>
  <c r="C39" i="14"/>
  <c r="C25" i="14"/>
  <c r="C52" i="10"/>
  <c r="C60" i="13" s="1"/>
  <c r="E44" i="9"/>
  <c r="E41" i="12"/>
  <c r="D41" i="12"/>
  <c r="D39" i="12"/>
  <c r="E39" i="12"/>
  <c r="E13" i="12"/>
  <c r="C66" i="13" l="1"/>
  <c r="C24" i="13"/>
  <c r="D58" i="13"/>
  <c r="D22" i="13"/>
  <c r="E22" i="13"/>
  <c r="D20" i="13"/>
  <c r="F55" i="10"/>
  <c r="F12" i="20"/>
  <c r="C26" i="13"/>
  <c r="E62" i="13"/>
  <c r="B42" i="13"/>
  <c r="C48" i="13"/>
  <c r="D52" i="13"/>
  <c r="C58" i="13"/>
  <c r="C62" i="13"/>
  <c r="D42" i="13"/>
  <c r="F22" i="20"/>
  <c r="E68" i="13"/>
  <c r="E60" i="13"/>
  <c r="E13" i="13"/>
  <c r="F35" i="1"/>
  <c r="D40" i="13"/>
  <c r="E48" i="13"/>
  <c r="E66" i="13"/>
  <c r="C20" i="13"/>
  <c r="E28" i="13"/>
  <c r="E26" i="13"/>
  <c r="E38" i="13"/>
  <c r="D62" i="13"/>
  <c r="E64" i="13"/>
  <c r="C38" i="13"/>
  <c r="C42" i="13"/>
  <c r="D60" i="13"/>
  <c r="C22" i="13"/>
  <c r="D28" i="13"/>
  <c r="E42" i="13"/>
  <c r="D38" i="13"/>
  <c r="E50" i="13"/>
  <c r="D26" i="13"/>
  <c r="E36" i="13"/>
  <c r="E40" i="13"/>
  <c r="E58" i="13"/>
  <c r="D36" i="13"/>
  <c r="E34" i="13"/>
  <c r="F21" i="18"/>
  <c r="N6" i="20"/>
  <c r="L5" i="20" s="1"/>
  <c r="D68" i="13"/>
  <c r="N6" i="17"/>
  <c r="K5" i="17" s="1"/>
  <c r="N6" i="18"/>
  <c r="J5" i="18" s="1"/>
  <c r="N27" i="20"/>
  <c r="N85" i="20"/>
  <c r="N53" i="20"/>
  <c r="F23" i="20"/>
  <c r="N27" i="18"/>
  <c r="K26" i="18" s="1"/>
  <c r="L5" i="18"/>
  <c r="N85" i="18"/>
  <c r="K84" i="18" s="1"/>
  <c r="F23" i="18"/>
  <c r="L53" i="18"/>
  <c r="N53" i="18" s="1"/>
  <c r="N27" i="17"/>
  <c r="K26" i="17" s="1"/>
  <c r="L53" i="17"/>
  <c r="L85" i="17"/>
  <c r="N85" i="17" s="1"/>
  <c r="K38" i="10"/>
  <c r="K6" i="10"/>
  <c r="E20" i="13"/>
  <c r="K84" i="11"/>
  <c r="K52" i="11"/>
  <c r="K26" i="11"/>
  <c r="K5" i="11"/>
  <c r="L85" i="12"/>
  <c r="K53" i="12"/>
  <c r="J53" i="12"/>
  <c r="L53" i="12"/>
  <c r="L27" i="12"/>
  <c r="L6" i="12"/>
  <c r="L84" i="14"/>
  <c r="L52" i="14"/>
  <c r="L26" i="14"/>
  <c r="L5" i="14"/>
  <c r="K96" i="10"/>
  <c r="K84" i="9"/>
  <c r="K53" i="9"/>
  <c r="K27" i="9"/>
  <c r="M27" i="9" s="1"/>
  <c r="I26" i="9" s="1"/>
  <c r="K6" i="9"/>
  <c r="K85" i="8"/>
  <c r="K54" i="8"/>
  <c r="K24" i="8"/>
  <c r="K85" i="12"/>
  <c r="J85" i="12"/>
  <c r="K27" i="12"/>
  <c r="J27" i="12"/>
  <c r="K6" i="12"/>
  <c r="J6" i="12"/>
  <c r="J84" i="11"/>
  <c r="I84" i="11"/>
  <c r="J96" i="10"/>
  <c r="I96" i="10"/>
  <c r="J84" i="9"/>
  <c r="I84" i="9"/>
  <c r="J85" i="8"/>
  <c r="I85" i="8"/>
  <c r="I87" i="1"/>
  <c r="K5" i="20" l="1"/>
  <c r="J5" i="20"/>
  <c r="J26" i="18"/>
  <c r="K5" i="18"/>
  <c r="J5" i="17"/>
  <c r="N5" i="17" s="1"/>
  <c r="L5" i="17"/>
  <c r="L84" i="18"/>
  <c r="K84" i="20"/>
  <c r="J84" i="20"/>
  <c r="L84" i="20"/>
  <c r="K52" i="20"/>
  <c r="J52" i="20"/>
  <c r="K26" i="20"/>
  <c r="J26" i="20"/>
  <c r="L52" i="20"/>
  <c r="L26" i="20"/>
  <c r="K52" i="18"/>
  <c r="J52" i="18"/>
  <c r="N5" i="18"/>
  <c r="J84" i="18"/>
  <c r="L52" i="18"/>
  <c r="L26" i="18"/>
  <c r="N26" i="18" s="1"/>
  <c r="K84" i="17"/>
  <c r="J84" i="17"/>
  <c r="N53" i="17"/>
  <c r="L52" i="17" s="1"/>
  <c r="J26" i="17"/>
  <c r="L84" i="17"/>
  <c r="L26" i="17"/>
  <c r="K64" i="10"/>
  <c r="N85" i="12"/>
  <c r="N53" i="12"/>
  <c r="N27" i="12"/>
  <c r="L26" i="12" s="1"/>
  <c r="N6" i="12"/>
  <c r="L5" i="12" s="1"/>
  <c r="M84" i="11"/>
  <c r="I83" i="11" s="1"/>
  <c r="M96" i="10"/>
  <c r="I95" i="10" s="1"/>
  <c r="M84" i="9"/>
  <c r="I83" i="9" s="1"/>
  <c r="M85" i="8"/>
  <c r="J52" i="14"/>
  <c r="J26" i="14"/>
  <c r="K5" i="14"/>
  <c r="J5" i="14"/>
  <c r="J52" i="11"/>
  <c r="I52" i="11"/>
  <c r="J26" i="11"/>
  <c r="M26" i="11" s="1"/>
  <c r="I26" i="11"/>
  <c r="J5" i="11"/>
  <c r="M5" i="11" s="1"/>
  <c r="I5" i="11"/>
  <c r="J64" i="10"/>
  <c r="I64" i="10"/>
  <c r="J38" i="10"/>
  <c r="I38" i="10"/>
  <c r="J6" i="10"/>
  <c r="I6" i="10"/>
  <c r="M53" i="9"/>
  <c r="J53" i="9"/>
  <c r="I53" i="9"/>
  <c r="J27" i="9"/>
  <c r="I27" i="9"/>
  <c r="J6" i="9"/>
  <c r="M6" i="9" s="1"/>
  <c r="I5" i="9" s="1"/>
  <c r="I6" i="9"/>
  <c r="J54" i="8"/>
  <c r="I54" i="8"/>
  <c r="J24" i="8"/>
  <c r="I24" i="8"/>
  <c r="J55" i="1"/>
  <c r="I55" i="1"/>
  <c r="I28" i="1"/>
  <c r="I3" i="1"/>
  <c r="D10" i="13"/>
  <c r="C10" i="13"/>
  <c r="B10" i="13"/>
  <c r="C8" i="13"/>
  <c r="D3" i="13"/>
  <c r="B3" i="13"/>
  <c r="D8" i="13"/>
  <c r="F9" i="12"/>
  <c r="B8" i="13" s="1"/>
  <c r="C9" i="12"/>
  <c r="D9" i="11"/>
  <c r="D7" i="13" s="1"/>
  <c r="F9" i="11"/>
  <c r="B7" i="13" s="1"/>
  <c r="C9" i="11"/>
  <c r="C7" i="13" s="1"/>
  <c r="D6" i="13"/>
  <c r="B6" i="13"/>
  <c r="C6" i="13"/>
  <c r="D5" i="13"/>
  <c r="B5" i="13"/>
  <c r="C5" i="13"/>
  <c r="D4" i="13"/>
  <c r="B4" i="13"/>
  <c r="C4" i="13"/>
  <c r="C3" i="13"/>
  <c r="F42" i="12"/>
  <c r="F40" i="12"/>
  <c r="F39" i="12"/>
  <c r="D37" i="12"/>
  <c r="D13" i="12"/>
  <c r="F13" i="12"/>
  <c r="F56" i="10"/>
  <c r="F27" i="10"/>
  <c r="F46" i="9"/>
  <c r="E41" i="14"/>
  <c r="D31" i="14"/>
  <c r="D30" i="14"/>
  <c r="B25" i="14"/>
  <c r="J84" i="14" s="1"/>
  <c r="C23" i="14"/>
  <c r="C42" i="14"/>
  <c r="F38" i="14"/>
  <c r="F40" i="14"/>
  <c r="B39" i="14"/>
  <c r="K84" i="14"/>
  <c r="N84" i="14" s="1"/>
  <c r="L83" i="14" s="1"/>
  <c r="C24" i="14"/>
  <c r="C15" i="14"/>
  <c r="C13" i="14"/>
  <c r="F53" i="10"/>
  <c r="F54" i="10"/>
  <c r="K55" i="1"/>
  <c r="J87" i="1"/>
  <c r="C40" i="13"/>
  <c r="J28" i="1"/>
  <c r="J3" i="1"/>
  <c r="N5" i="20" l="1"/>
  <c r="M54" i="8"/>
  <c r="K53" i="8" s="1"/>
  <c r="M24" i="8"/>
  <c r="I23" i="8" s="1"/>
  <c r="B16" i="13"/>
  <c r="M5" i="8"/>
  <c r="E3" i="13"/>
  <c r="D16" i="13"/>
  <c r="C16" i="13"/>
  <c r="M64" i="10"/>
  <c r="K63" i="10" s="1"/>
  <c r="M55" i="1"/>
  <c r="I54" i="1" s="1"/>
  <c r="N52" i="20"/>
  <c r="N84" i="20"/>
  <c r="N52" i="18"/>
  <c r="N84" i="18"/>
  <c r="N26" i="17"/>
  <c r="N26" i="20"/>
  <c r="K52" i="17"/>
  <c r="J52" i="17"/>
  <c r="N84" i="17"/>
  <c r="E4" i="13"/>
  <c r="E5" i="13"/>
  <c r="K87" i="1"/>
  <c r="K28" i="1"/>
  <c r="M28" i="1" s="1"/>
  <c r="K3" i="1"/>
  <c r="M3" i="1" s="1"/>
  <c r="I2" i="1" s="1"/>
  <c r="K26" i="9"/>
  <c r="J26" i="9"/>
  <c r="L84" i="12"/>
  <c r="J84" i="12"/>
  <c r="K84" i="12"/>
  <c r="L52" i="12"/>
  <c r="J52" i="12"/>
  <c r="J26" i="12"/>
  <c r="K26" i="12"/>
  <c r="J95" i="10"/>
  <c r="K84" i="8"/>
  <c r="I84" i="8"/>
  <c r="K52" i="12"/>
  <c r="J5" i="12"/>
  <c r="K5" i="12"/>
  <c r="F41" i="14"/>
  <c r="N5" i="14"/>
  <c r="J4" i="14" s="1"/>
  <c r="K26" i="14"/>
  <c r="K52" i="14"/>
  <c r="N52" i="14" s="1"/>
  <c r="L51" i="14" s="1"/>
  <c r="F66" i="13"/>
  <c r="D67" i="13" s="1"/>
  <c r="K83" i="14"/>
  <c r="J83" i="14"/>
  <c r="J83" i="11"/>
  <c r="K83" i="11"/>
  <c r="K95" i="10"/>
  <c r="K83" i="9"/>
  <c r="J83" i="9"/>
  <c r="J84" i="8"/>
  <c r="N26" i="14"/>
  <c r="J25" i="14" s="1"/>
  <c r="M52" i="11"/>
  <c r="I51" i="11" s="1"/>
  <c r="I4" i="11"/>
  <c r="K4" i="11"/>
  <c r="I25" i="11"/>
  <c r="K25" i="11"/>
  <c r="J25" i="11"/>
  <c r="J4" i="11"/>
  <c r="M38" i="10"/>
  <c r="K37" i="10" s="1"/>
  <c r="M6" i="10"/>
  <c r="I5" i="10" s="1"/>
  <c r="K5" i="9"/>
  <c r="J5" i="9"/>
  <c r="I52" i="9"/>
  <c r="K52" i="9"/>
  <c r="J52" i="9"/>
  <c r="J53" i="8"/>
  <c r="F64" i="13"/>
  <c r="E7" i="13"/>
  <c r="E6" i="13"/>
  <c r="F44" i="9"/>
  <c r="F41" i="12"/>
  <c r="F18" i="9"/>
  <c r="F39" i="14"/>
  <c r="F42" i="14"/>
  <c r="C29" i="1"/>
  <c r="C28" i="13" s="1"/>
  <c r="F20" i="13"/>
  <c r="C21" i="13" s="1"/>
  <c r="F54" i="1"/>
  <c r="F55" i="1"/>
  <c r="F53" i="1"/>
  <c r="F24" i="14"/>
  <c r="F22" i="14"/>
  <c r="F21" i="14"/>
  <c r="F16" i="14"/>
  <c r="F13" i="14"/>
  <c r="F22" i="8"/>
  <c r="F42" i="15"/>
  <c r="F40" i="15"/>
  <c r="F38" i="15"/>
  <c r="F37" i="15"/>
  <c r="F32" i="15"/>
  <c r="F31" i="15"/>
  <c r="F30" i="15"/>
  <c r="F25" i="15"/>
  <c r="F24" i="15"/>
  <c r="F23" i="15"/>
  <c r="F22" i="15"/>
  <c r="F21" i="15"/>
  <c r="F16" i="15"/>
  <c r="F15" i="15"/>
  <c r="F14" i="15"/>
  <c r="F12" i="15"/>
  <c r="F37" i="14"/>
  <c r="F32" i="14"/>
  <c r="F31" i="14"/>
  <c r="F30" i="14"/>
  <c r="F25" i="14"/>
  <c r="F23" i="14"/>
  <c r="F15" i="14"/>
  <c r="F12" i="14"/>
  <c r="F48" i="8"/>
  <c r="F50" i="8"/>
  <c r="F47" i="8"/>
  <c r="I53" i="8" l="1"/>
  <c r="J4" i="8"/>
  <c r="I4" i="8"/>
  <c r="K4" i="8"/>
  <c r="K23" i="8"/>
  <c r="J23" i="8"/>
  <c r="M23" i="8" s="1"/>
  <c r="E16" i="13"/>
  <c r="J63" i="10"/>
  <c r="I63" i="10"/>
  <c r="N5" i="12"/>
  <c r="K54" i="1"/>
  <c r="J54" i="1"/>
  <c r="N52" i="17"/>
  <c r="F62" i="13"/>
  <c r="D63" i="13" s="1"/>
  <c r="F22" i="13"/>
  <c r="F24" i="13"/>
  <c r="F1" i="16" s="1"/>
  <c r="K27" i="1"/>
  <c r="J27" i="1"/>
  <c r="I27" i="1"/>
  <c r="M87" i="1"/>
  <c r="K86" i="1" s="1"/>
  <c r="J2" i="1"/>
  <c r="K2" i="1"/>
  <c r="M26" i="9"/>
  <c r="F68" i="13"/>
  <c r="F129" i="16" s="1"/>
  <c r="M83" i="11"/>
  <c r="J51" i="11"/>
  <c r="N84" i="12"/>
  <c r="N52" i="12"/>
  <c r="N26" i="12"/>
  <c r="K51" i="14"/>
  <c r="J51" i="14"/>
  <c r="M95" i="10"/>
  <c r="I37" i="10"/>
  <c r="J37" i="10"/>
  <c r="K5" i="10"/>
  <c r="M83" i="9"/>
  <c r="M84" i="8"/>
  <c r="N83" i="14"/>
  <c r="L4" i="14"/>
  <c r="K4" i="14"/>
  <c r="K25" i="14"/>
  <c r="L25" i="14"/>
  <c r="K51" i="11"/>
  <c r="M4" i="11"/>
  <c r="M25" i="11"/>
  <c r="J5" i="10"/>
  <c r="M5" i="9"/>
  <c r="M52" i="9"/>
  <c r="M53" i="8"/>
  <c r="D21" i="13"/>
  <c r="E21" i="13"/>
  <c r="H21" i="13" s="1"/>
  <c r="B21" i="13"/>
  <c r="B67" i="13"/>
  <c r="C67" i="13"/>
  <c r="E67" i="13"/>
  <c r="F52" i="1"/>
  <c r="F26" i="1"/>
  <c r="F14" i="14"/>
  <c r="F42" i="13"/>
  <c r="M4" i="8" l="1"/>
  <c r="M63" i="10"/>
  <c r="B23" i="13"/>
  <c r="H20" i="13"/>
  <c r="M54" i="1"/>
  <c r="M27" i="1"/>
  <c r="M2" i="1"/>
  <c r="E23" i="13"/>
  <c r="H23" i="13" s="1"/>
  <c r="C63" i="13"/>
  <c r="B63" i="13"/>
  <c r="E63" i="13"/>
  <c r="D23" i="13"/>
  <c r="C23" i="13"/>
  <c r="J86" i="1"/>
  <c r="I86" i="1"/>
  <c r="M51" i="11"/>
  <c r="N51" i="14"/>
  <c r="N4" i="14"/>
  <c r="M37" i="10"/>
  <c r="M5" i="10"/>
  <c r="N25" i="14"/>
  <c r="E43" i="13"/>
  <c r="H43" i="13" s="1"/>
  <c r="F155" i="16"/>
  <c r="F21" i="13"/>
  <c r="F67" i="13"/>
  <c r="D43" i="13"/>
  <c r="C43" i="13"/>
  <c r="B43" i="13"/>
  <c r="B156" i="16" s="1"/>
  <c r="F38" i="12"/>
  <c r="F37" i="12"/>
  <c r="F32" i="12"/>
  <c r="F31" i="12"/>
  <c r="F30" i="12"/>
  <c r="F25" i="12"/>
  <c r="F24" i="12"/>
  <c r="F23" i="12"/>
  <c r="F22" i="12"/>
  <c r="F21" i="12"/>
  <c r="F16" i="12"/>
  <c r="F15" i="12"/>
  <c r="F14" i="12"/>
  <c r="F12" i="12"/>
  <c r="F42" i="11"/>
  <c r="F40" i="11"/>
  <c r="F38" i="11"/>
  <c r="F37" i="11"/>
  <c r="F32" i="11"/>
  <c r="F31" i="11"/>
  <c r="F30" i="11"/>
  <c r="F25" i="11"/>
  <c r="F24" i="11"/>
  <c r="F23" i="11"/>
  <c r="F22" i="11"/>
  <c r="F21" i="11"/>
  <c r="F16" i="11"/>
  <c r="F15" i="11"/>
  <c r="F14" i="11"/>
  <c r="F12" i="11"/>
  <c r="F52" i="10"/>
  <c r="F51" i="10"/>
  <c r="F46" i="10"/>
  <c r="F45" i="10"/>
  <c r="F44" i="10"/>
  <c r="F39" i="10"/>
  <c r="F38" i="10"/>
  <c r="F37" i="10"/>
  <c r="F36" i="10"/>
  <c r="F35" i="10"/>
  <c r="F30" i="10"/>
  <c r="F29" i="10"/>
  <c r="F28" i="10"/>
  <c r="F26" i="10"/>
  <c r="F47" i="9"/>
  <c r="F45" i="9"/>
  <c r="F43" i="9"/>
  <c r="F42" i="9"/>
  <c r="F37" i="9"/>
  <c r="F36" i="9"/>
  <c r="F35" i="9"/>
  <c r="F30" i="9"/>
  <c r="F29" i="9"/>
  <c r="F28" i="9"/>
  <c r="F27" i="9"/>
  <c r="F26" i="9"/>
  <c r="F21" i="9"/>
  <c r="F20" i="9"/>
  <c r="F19" i="9"/>
  <c r="F17" i="9"/>
  <c r="F51" i="8"/>
  <c r="F49" i="8"/>
  <c r="F46" i="8"/>
  <c r="F41" i="8"/>
  <c r="F40" i="8"/>
  <c r="F39" i="8"/>
  <c r="F34" i="8"/>
  <c r="F32" i="8"/>
  <c r="F31" i="8"/>
  <c r="F30" i="8"/>
  <c r="F25" i="8"/>
  <c r="F24" i="8"/>
  <c r="F23" i="8"/>
  <c r="F34" i="1"/>
  <c r="F29" i="1"/>
  <c r="F25" i="1"/>
  <c r="F27" i="1"/>
  <c r="F28" i="1"/>
  <c r="F36" i="1"/>
  <c r="F37" i="1"/>
  <c r="F38" i="1"/>
  <c r="F43" i="1"/>
  <c r="F44" i="1"/>
  <c r="F45" i="1"/>
  <c r="F50" i="1"/>
  <c r="F51" i="1"/>
  <c r="F23" i="13" l="1"/>
  <c r="F63" i="13"/>
  <c r="M86" i="1"/>
  <c r="D156" i="16"/>
  <c r="H45" i="13"/>
  <c r="C156" i="16"/>
  <c r="F43" i="13"/>
  <c r="H44" i="13"/>
  <c r="F60" i="13"/>
  <c r="B61" i="13" s="1"/>
  <c r="F52" i="13"/>
  <c r="E53" i="13" s="1"/>
  <c r="H53" i="13" s="1"/>
  <c r="B25" i="13"/>
  <c r="B2" i="16" s="1"/>
  <c r="F48" i="13"/>
  <c r="F58" i="13"/>
  <c r="B59" i="13" s="1"/>
  <c r="C69" i="13"/>
  <c r="C130" i="16" s="1"/>
  <c r="F36" i="13"/>
  <c r="F40" i="13"/>
  <c r="B41" i="13" s="1"/>
  <c r="F28" i="13"/>
  <c r="F26" i="13"/>
  <c r="F38" i="13"/>
  <c r="D65" i="13"/>
  <c r="F50" i="13"/>
  <c r="D51" i="13" s="1"/>
  <c r="F34" i="13"/>
  <c r="C35" i="13" s="1"/>
  <c r="F156" i="16" l="1"/>
  <c r="F28" i="16"/>
  <c r="B27" i="13"/>
  <c r="B29" i="16" s="1"/>
  <c r="E39" i="13"/>
  <c r="H39" i="13" s="1"/>
  <c r="F79" i="16"/>
  <c r="D49" i="13"/>
  <c r="F104" i="16"/>
  <c r="B37" i="13"/>
  <c r="B55" i="16" s="1"/>
  <c r="F54" i="16"/>
  <c r="C29" i="13"/>
  <c r="B29" i="13"/>
  <c r="E29" i="13"/>
  <c r="D29" i="13"/>
  <c r="E27" i="13"/>
  <c r="H27" i="13" s="1"/>
  <c r="C59" i="13"/>
  <c r="C61" i="13"/>
  <c r="D35" i="13"/>
  <c r="D53" i="13"/>
  <c r="B53" i="13"/>
  <c r="D59" i="13"/>
  <c r="E69" i="13"/>
  <c r="H69" i="13" s="1"/>
  <c r="E37" i="13"/>
  <c r="H37" i="13" s="1"/>
  <c r="C37" i="13"/>
  <c r="C55" i="16" s="1"/>
  <c r="C51" i="13"/>
  <c r="D27" i="13"/>
  <c r="B69" i="13"/>
  <c r="B130" i="16" s="1"/>
  <c r="B35" i="13"/>
  <c r="D69" i="13"/>
  <c r="D41" i="13"/>
  <c r="B49" i="13"/>
  <c r="B105" i="16" s="1"/>
  <c r="D39" i="13"/>
  <c r="E25" i="13"/>
  <c r="H25" i="13" s="1"/>
  <c r="E49" i="13"/>
  <c r="H49" i="13" s="1"/>
  <c r="E41" i="13"/>
  <c r="C65" i="13"/>
  <c r="C53" i="13"/>
  <c r="D37" i="13"/>
  <c r="D25" i="13"/>
  <c r="C25" i="13"/>
  <c r="C2" i="16" s="1"/>
  <c r="E59" i="13"/>
  <c r="H59" i="13" s="1"/>
  <c r="E35" i="13"/>
  <c r="E61" i="13"/>
  <c r="B65" i="13"/>
  <c r="E65" i="13"/>
  <c r="C49" i="13"/>
  <c r="C105" i="16" s="1"/>
  <c r="B39" i="13"/>
  <c r="B80" i="16" s="1"/>
  <c r="C41" i="13"/>
  <c r="C39" i="13"/>
  <c r="C80" i="16" s="1"/>
  <c r="B51" i="13"/>
  <c r="E51" i="13"/>
  <c r="H51" i="13" s="1"/>
  <c r="C27" i="13"/>
  <c r="C29" i="16" s="1"/>
  <c r="D61" i="13"/>
  <c r="D2" i="16" l="1"/>
  <c r="D29" i="16"/>
  <c r="F29" i="16" s="1"/>
  <c r="D130" i="16"/>
  <c r="H29" i="13"/>
  <c r="F29" i="13"/>
  <c r="D80" i="16"/>
  <c r="D55" i="16"/>
  <c r="D105" i="16"/>
  <c r="F25" i="13"/>
  <c r="F27" i="13"/>
  <c r="F69" i="13"/>
  <c r="F37" i="13"/>
  <c r="F59" i="13"/>
  <c r="F53" i="13"/>
  <c r="F65" i="13"/>
  <c r="F51" i="13"/>
  <c r="F49" i="13"/>
  <c r="F39" i="13"/>
  <c r="H35" i="13"/>
  <c r="F35" i="13"/>
  <c r="F41" i="13"/>
  <c r="F61" i="13"/>
</calcChain>
</file>

<file path=xl/sharedStrings.xml><?xml version="1.0" encoding="utf-8"?>
<sst xmlns="http://schemas.openxmlformats.org/spreadsheetml/2006/main" count="954" uniqueCount="200">
  <si>
    <t>20 et 21 janvier 2020</t>
  </si>
  <si>
    <t>17 et 18 décembre 2020</t>
  </si>
  <si>
    <t>28 et 29 septembre 2020</t>
  </si>
  <si>
    <t>14 et 15 décembre 2020</t>
  </si>
  <si>
    <t>18 et 19 janvier 2021</t>
  </si>
  <si>
    <t>17 et 18 mai 2021</t>
  </si>
  <si>
    <t>nbre inscrits</t>
  </si>
  <si>
    <t>nbre évaluations complétées</t>
  </si>
  <si>
    <t>1.1. La durée</t>
  </si>
  <si>
    <t>1.2. Le rythme de la formation</t>
  </si>
  <si>
    <t>1.3. Les supports pédagogiques utilisés</t>
  </si>
  <si>
    <t>1.4. La composition du groupe</t>
  </si>
  <si>
    <t>2. Le contenu présenté</t>
  </si>
  <si>
    <t xml:space="preserve">  </t>
  </si>
  <si>
    <t xml:space="preserve">2.1. Le programme était-il conforme à celui énoncé ? </t>
  </si>
  <si>
    <t>2.2. Les objectifs du programme ont-ils été atteints ?</t>
  </si>
  <si>
    <t>2.3. La formation a-t-elle répondu à vos attentes ?</t>
  </si>
  <si>
    <t>2.4. L’équilibre entre la théorie et la pratique</t>
  </si>
  <si>
    <t xml:space="preserve">2.5. L’utilité de la formation pour votre travail au quotidien </t>
  </si>
  <si>
    <t>3. L’animation de la formation</t>
  </si>
  <si>
    <t xml:space="preserve"> </t>
  </si>
  <si>
    <t>3.1. La démarche pédagogique et la qualité de l’animation</t>
  </si>
  <si>
    <t>3.2. La clarté des explications</t>
  </si>
  <si>
    <t>3.3. La qualité des échanges avec et entre participants</t>
  </si>
  <si>
    <t>4. L’organisation</t>
  </si>
  <si>
    <t>4.1. La qualité de la présentation et de l’accueil</t>
  </si>
  <si>
    <t>5.1. Êtes-vous satisfaites de la formation ?</t>
  </si>
  <si>
    <t>traitées dans tableau ci-dessous ?</t>
  </si>
  <si>
    <t>oui</t>
  </si>
  <si>
    <t>TOTAL</t>
  </si>
  <si>
    <t>date formation</t>
  </si>
  <si>
    <t>Formation des préjugés au racisme</t>
  </si>
  <si>
    <t>Formation approche anthropologique de la famille</t>
  </si>
  <si>
    <t>13 avril 2021</t>
  </si>
  <si>
    <t>12 avril 2021</t>
  </si>
  <si>
    <t>5</t>
  </si>
  <si>
    <t>nbre de formations</t>
  </si>
  <si>
    <t>exemples :</t>
  </si>
  <si>
    <t>des stagiaires sont tout à fait satisfaits des supports pédagogiques utilisés</t>
  </si>
  <si>
    <t>des stagiaires ont trouvé le programme tout à fait conforme à celui énoncé</t>
  </si>
  <si>
    <t>tout à fait</t>
  </si>
  <si>
    <t>oui plutôt</t>
  </si>
  <si>
    <t>pas vraiment</t>
  </si>
  <si>
    <t>pas du tout</t>
  </si>
  <si>
    <t>des stagiaires sont tout à fait satisfaits de la formation</t>
  </si>
  <si>
    <t>des stagiaires sont tout à fait satisfaits de l'utilité de la formation pour leur travail au quotidien</t>
  </si>
  <si>
    <t>des stagiaires sont plutôt satisfaits de l'utilité de la formation pour leur travail au quotidien</t>
  </si>
  <si>
    <t>des stagiaires  ne sont pas vraiment satisfaits de l'utilité de la formation pour leur travail au quotidien</t>
  </si>
  <si>
    <t>formations</t>
  </si>
  <si>
    <t>important</t>
  </si>
  <si>
    <t xml:space="preserve">Formation Pratiques religieuses </t>
  </si>
  <si>
    <t>locaux ou vente</t>
  </si>
  <si>
    <t xml:space="preserve">locaux  </t>
  </si>
  <si>
    <t xml:space="preserve">Formation approche anthropologique du genre </t>
  </si>
  <si>
    <t xml:space="preserve">Formation nature et environnement </t>
  </si>
  <si>
    <t xml:space="preserve">Formation maladie et soin </t>
  </si>
  <si>
    <t>3 et 4 mars 2021- EPM Porcheville</t>
  </si>
  <si>
    <t>vente chez commanditaire</t>
  </si>
  <si>
    <t>9 et 10 juin 2021 - EPM Porcheville</t>
  </si>
  <si>
    <t>4.2. Les Lieux et locaux adaptés dans nos locaux</t>
  </si>
  <si>
    <t>4.3. La qualité du matériel mis à disposition dans nos locaux</t>
  </si>
  <si>
    <t>OU BIEN 4.3. La qualité du matériel mis à disposition chez les commanditaires</t>
  </si>
  <si>
    <t>OU BIEN 4.2. Les Lieux et locaux adaptés chez les commanditaires</t>
  </si>
  <si>
    <t>5 mars 2020 - La Courneuve ville monde</t>
  </si>
  <si>
    <t>Formation migrations</t>
  </si>
  <si>
    <t>9 mars 2020 - La Courneuve Ville Monde - petite enfance</t>
  </si>
  <si>
    <t>nombre de formations</t>
  </si>
  <si>
    <t>locaux  mais distanciel</t>
  </si>
  <si>
    <t>pratiques religieuses</t>
  </si>
  <si>
    <t>genre</t>
  </si>
  <si>
    <t>racisme</t>
  </si>
  <si>
    <t>famille</t>
  </si>
  <si>
    <t xml:space="preserve">environnement </t>
  </si>
  <si>
    <t xml:space="preserve">maladie </t>
  </si>
  <si>
    <t>différents âges vie</t>
  </si>
  <si>
    <t>migrations</t>
  </si>
  <si>
    <t>OU BIEN 1.1. La durée - si 1 jour</t>
  </si>
  <si>
    <t>2 octobre 2020 - La Courneuve Ville Monde</t>
  </si>
  <si>
    <t>12 octobre 2020 - La Courneuve Ville Monde</t>
  </si>
  <si>
    <t>5 et 6 octobre 2020 - MECS Strasbourg</t>
  </si>
  <si>
    <t>10 et 11 juin 2021 - OMJT Tremblay-en-France</t>
  </si>
  <si>
    <t>5 et 6 juillet 2021 - AFPAD Pierrefitte-sur-Seine</t>
  </si>
  <si>
    <t>gratuit chez commanditaire</t>
  </si>
  <si>
    <t>Formation différents âges vie (naissance, adolescence, vieillesse)</t>
  </si>
  <si>
    <t>vente chez le commanditaire</t>
  </si>
  <si>
    <t>12 mars 2020 - La Courneuve Ville Monde - parentalité</t>
  </si>
  <si>
    <t>21 septembre 2020 - La Courneuve Ville Monde - devenir adulte</t>
  </si>
  <si>
    <t>28 septembre 2020 - La Courneuve Ville Monde - naître et grandir</t>
  </si>
  <si>
    <t>25 septembre 2020 - La Courneuve Ville Monde</t>
  </si>
  <si>
    <t>5 octobre 2020 - La Courneuve Ville Monde</t>
  </si>
  <si>
    <t>7 octobre 2020 - La Courneuve Ville Monde - parentalité</t>
  </si>
  <si>
    <t>9 juillet 2021 - Gennevilliers sensibilisation handicap</t>
  </si>
  <si>
    <t>23 et 24 septembre 2021 - OMJT Tremblay</t>
  </si>
  <si>
    <t>pourcentage d'évaluations complétées</t>
  </si>
  <si>
    <t>1.1. La durée - formations de 2 jours</t>
  </si>
  <si>
    <t>1.1. La durée - formations de 1 jour</t>
  </si>
  <si>
    <t>4.2. Les Lieux et locaux adaptés - si formations dans locaux</t>
  </si>
  <si>
    <t>4.2. Les Lieux et locaux adaptés - si formations chez commanditaires</t>
  </si>
  <si>
    <t>4.3. La qualité du matériel mis à disposition - si formations chez commanditaires</t>
  </si>
  <si>
    <t>4.3. La qualité du matériel mis à disposition - si formations dans locaux</t>
  </si>
  <si>
    <t>%</t>
  </si>
  <si>
    <t>1.1. La durée - 2 jours</t>
  </si>
  <si>
    <t>11 personnes en distanciel - n'ont pas répondu</t>
  </si>
  <si>
    <t>des stagiaires sont tout à fait satisfaits de la durée des formations sur un jour</t>
  </si>
  <si>
    <t>des stagiaires sont tout à fait satisfaits de la durée des formations sur deux jours</t>
  </si>
  <si>
    <t>des stagiaires sont tout à fait satisfaits du rythme de la formation</t>
  </si>
  <si>
    <t xml:space="preserve">des stagiaires sont tout à fait satisfaits de la durée des formations </t>
  </si>
  <si>
    <t>des stagiaires sont tout à fait satisfaits de la composition du groupe</t>
  </si>
  <si>
    <t>des stagiaires trouvent que les objectifs du programme ont tout à fait été atteints</t>
  </si>
  <si>
    <t>des stagiaires pensent que la formation a tout à fait répondu à leurs attentes</t>
  </si>
  <si>
    <t>des stagiaires sont tout à fait satisfaits de la démarche pédagogique et de la qualité de l'animation</t>
  </si>
  <si>
    <t>des stagiaires sont tout à fait satisfaits de la clarté des explications</t>
  </si>
  <si>
    <t>des stagiaires sont tout à fait satisfaits de la qualité des échanges avec et entre participants</t>
  </si>
  <si>
    <t>des stagiaires sont tout à fait satisfaits de la qualité de la présentation et de l'accueil</t>
  </si>
  <si>
    <t>répondants</t>
  </si>
  <si>
    <t>5.1. Êtes-vous satisfaits de la formation ?</t>
  </si>
  <si>
    <t>11 et 12 octobre 2021</t>
  </si>
  <si>
    <t>locaux</t>
  </si>
  <si>
    <t>oui plutôt/tout à fait</t>
  </si>
  <si>
    <t>Lecture : 98% des répondant.e.s déclarent être tout à fait/plutôt satisfait.e.s des supports pédagogiques utilisés</t>
  </si>
  <si>
    <t>Lecture : 99% des répondant.e.s déclarent être tout à fait/plutôt satisfait.e.s de la formation.</t>
  </si>
  <si>
    <t xml:space="preserve">réponses </t>
  </si>
  <si>
    <t>7</t>
  </si>
  <si>
    <t>9 et 10 décembre 2021</t>
  </si>
  <si>
    <t>18 et 19 novembre 2021 - Zoom à Laval</t>
  </si>
  <si>
    <t xml:space="preserve">7 et 8 février 2022 </t>
  </si>
  <si>
    <t xml:space="preserve">16 et 17 mai 2022 </t>
  </si>
  <si>
    <t>9 mai 2022- Croix-Saint-Simon</t>
  </si>
  <si>
    <t>vente dans nos locaux</t>
  </si>
  <si>
    <t>10 mai 2022 - Courneuve</t>
  </si>
  <si>
    <t>9, 10 et 11 mai 2022 - Amnesty International France</t>
  </si>
  <si>
    <t>20 juin 2022 - Croix-Saint-Simon</t>
  </si>
  <si>
    <t xml:space="preserve">24 mai 2022 - La Courneuve Ville Monde - grandir et devenir adulte : adolescence </t>
  </si>
  <si>
    <t>27 juin 2022 - Croix-Saint-Simon - naître et grandir</t>
  </si>
  <si>
    <t>23 mars au 15 juin 2022 - Collège Galois Académie enseignant</t>
  </si>
  <si>
    <t>Formation plurilinguisme</t>
  </si>
  <si>
    <t>Formation interculturalité</t>
  </si>
  <si>
    <t>Formation discours de haine</t>
  </si>
  <si>
    <t>plurilinguisme</t>
  </si>
  <si>
    <t>discours de haine</t>
  </si>
  <si>
    <t>interculturalité</t>
  </si>
  <si>
    <t>23 mai 2022 DTPJJ STENO Paris interculturalité et plurilinguisme</t>
  </si>
  <si>
    <t>vente</t>
  </si>
  <si>
    <t>2 juin 2022 Bibliothèque de Brunoy - l'accueil interculturel</t>
  </si>
  <si>
    <t>subventions chez commanditaire</t>
  </si>
  <si>
    <t>6 et 7 juillet 2022 ACSA</t>
  </si>
  <si>
    <t>21 juin 2022 - La Courneuve Ville Monde</t>
  </si>
  <si>
    <t>28 juin 2022 - La Courneuve Ville Monde</t>
  </si>
  <si>
    <t>5 octobre 2022 - ENPJJ Bordeaux</t>
  </si>
  <si>
    <t>27 septembre 2022 - La Courneuve Ville Monde - parentalité</t>
  </si>
  <si>
    <t xml:space="preserve">6 octobre 2022 - La Courneuve Ville Monde </t>
  </si>
  <si>
    <t>20 octobre 2022 - La Courneuve Ville Monde - parentalité</t>
  </si>
  <si>
    <t>11 octobre 2022 - La Courneuve Ville Monde - parentalité</t>
  </si>
  <si>
    <t>17 et 18 octobre 2022 - La Croix-Sainr-Simon</t>
  </si>
  <si>
    <t>8 novembre 2022 - La Courneuve Ville Monde</t>
  </si>
  <si>
    <t>24/11 et 05/12/2022 - SPIP 78</t>
  </si>
  <si>
    <t>13 octobre 2022 - La Courneuve Ville Monde</t>
  </si>
  <si>
    <t>22 novembre 2022 - La Courneuve Ville Monde - parentalité</t>
  </si>
  <si>
    <t xml:space="preserve">20 et 21 mars 2023 </t>
  </si>
  <si>
    <t>13 et 14 février 2023</t>
  </si>
  <si>
    <t xml:space="preserve">13 et 14 avril 2023 </t>
  </si>
  <si>
    <t>15 et 16 mai 2023</t>
  </si>
  <si>
    <t>6 avril, 21 avril, 12 mai 2023 - SPIP 78</t>
  </si>
  <si>
    <t>25 janvier et 29 mars 2023 - Collège Galois Académie enseignant</t>
  </si>
  <si>
    <t>29 juin 2023 - Croix-Saint-Simon</t>
  </si>
  <si>
    <t>5 octobre 2023 - Croix-Saint-Simon - naître et grandir</t>
  </si>
  <si>
    <t>27 novembre et 11 décembre 2023 - SPIP 78</t>
  </si>
  <si>
    <t>5 et 6 février 2024</t>
  </si>
  <si>
    <t>3 et 4 juin 2024</t>
  </si>
  <si>
    <t>31 janvier et 5 juin 2024 - Collège Galois Académie enseignant</t>
  </si>
  <si>
    <t xml:space="preserve">8 mars 2023 Académie de Versailles </t>
  </si>
  <si>
    <t>21 juin 2024 - Croix Saint Simon</t>
  </si>
  <si>
    <t>6</t>
  </si>
  <si>
    <t>attention la formule ne fonctionne pas pour le renvoi !!</t>
  </si>
  <si>
    <t>attention la formule ne fonctionne pas pour le renvoi !! Case B9</t>
  </si>
  <si>
    <t>Source : fiche d'évaluation à l'issue de la formation. n= 532</t>
  </si>
  <si>
    <t>Lecture : 98% des répondant.e.s déclarent être tout à fait/plutôt satisfait.e.s du rythme de la formation</t>
  </si>
  <si>
    <t>Source : fiche d'évaluation à l'issue de la formation. n=  532</t>
  </si>
  <si>
    <t>Lecture : 97% des répondant.e.s déclarent que les objectifs du programme énoncé ont tout à fait/plutôt été atteints</t>
  </si>
  <si>
    <t>Source : fiche d'évaluation à l'issue de la formation. n=  536</t>
  </si>
  <si>
    <t>Lecture : 97% des répondant.e.s déclarent que la formation a tout à fait/plutôt répondu à leurs attentes.</t>
  </si>
  <si>
    <t>Lecture : 99% des répondant.e.s déclarent être tout à fait/plutôt satisfait.e.s de la démarche pédagogique et de la qualité de l'animation.</t>
  </si>
  <si>
    <t>Lecture : 94% des répondant.e.s déclarent que la formation leur a plutôt/tout à fait apporté des éléments utiles pour leur travail au quotidien.</t>
  </si>
  <si>
    <t>14 et 15 octobre 2024</t>
  </si>
  <si>
    <t>27 et 28 janvier 2025</t>
  </si>
  <si>
    <t xml:space="preserve">13 et 14 mars 2025 </t>
  </si>
  <si>
    <t xml:space="preserve">26 novembre 2024 - Croix Saint Simon	</t>
  </si>
  <si>
    <t>3 avril 2025 - ENPJJ Rennes</t>
  </si>
  <si>
    <t>14 et 25 mai 2025 - SPIP 93</t>
  </si>
  <si>
    <t>11 et 18 septembre 2024 - SPIP Fresnes</t>
  </si>
  <si>
    <t>19 et 20 mars 2026</t>
  </si>
  <si>
    <t>non</t>
  </si>
  <si>
    <t>15 et 16 janvier 2026</t>
  </si>
  <si>
    <t>15 mars 2025</t>
  </si>
  <si>
    <t>22 et 23 mai 2025</t>
  </si>
  <si>
    <t>12 et 13 juin 2025</t>
  </si>
  <si>
    <t>4 et 5 décembre 2025</t>
  </si>
  <si>
    <t>14 et 15 octobre 2025</t>
  </si>
  <si>
    <t>2 octobre 2025 - cité éducative Paris 19</t>
  </si>
  <si>
    <t>3 avril 2026 - ENPJJ Rennes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</si>
</sst>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€&quot;_ ;_ * \(#,##0.00\)\ &quot;€&quot;_ ;_ * &quot;-&quot;??_)\ &quot;€&quot;_ ;_ @_ "/>
  </numFmts>
  <fonts count="18">
    <font>
      <sz val="12"/>
      <color theme="1"/>
      <name val="Calibri"/>
      <family val="2"/>
      <scheme val="minor"/>
    </font>
    <font>
      <b/>
      <sz val="7"/>
      <color theme="1"/>
      <name val="Calibri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12"/>
      <color theme="1"/>
      <name val="Calibri"/>
      <family val="2"/>
    </font>
    <font>
      <b/>
      <sz val="15"/>
      <color rgb="FF222343"/>
      <name val="Calibri"/>
      <family val="2"/>
    </font>
    <font>
      <b/>
      <sz val="5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8" tint="-0.249977111117893"/>
      <name val="Calibri"/>
      <family val="2"/>
      <scheme val="minor"/>
    </font>
    <font>
      <b/>
      <sz val="12"/>
      <color rgb="FF2F75B5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FF0000"/>
        <bgColor indexed="64"/>
      </patternFill>
    </fill>
  </fills>
  <borders count="87">
    <border>
      <left/>
      <right/>
      <top/>
      <bottom/>
      <diagonal/>
    </border>
    <border>
      <left/>
      <right/>
      <top style="medium">
        <color rgb="FF222343"/>
      </top>
      <bottom/>
      <diagonal/>
    </border>
    <border>
      <left/>
      <right/>
      <top style="medium">
        <color rgb="FF222343"/>
      </top>
      <bottom style="medium">
        <color rgb="FF222343"/>
      </bottom>
      <diagonal/>
    </border>
    <border>
      <left/>
      <right/>
      <top/>
      <bottom style="medium">
        <color rgb="FF22234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medium">
        <color rgb="FF222343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rgb="FF222343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2" tint="-0.249977111117893"/>
      </top>
      <bottom style="medium">
        <color rgb="FF222343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medium">
        <color indexed="6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medium">
        <color rgb="FF222343"/>
      </bottom>
      <diagonal/>
    </border>
    <border>
      <left/>
      <right/>
      <top style="medium">
        <color rgb="FF222343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medium">
        <color rgb="FF222343"/>
      </top>
      <bottom style="medium">
        <color rgb="FF222343"/>
      </bottom>
      <diagonal/>
    </border>
    <border>
      <left style="thin">
        <color theme="2" tint="-9.9978637043366805E-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 style="medium">
        <color theme="1"/>
      </right>
      <top style="mediumDashed">
        <color indexed="64"/>
      </top>
      <bottom/>
      <diagonal/>
    </border>
    <border>
      <left/>
      <right style="medium">
        <color theme="1"/>
      </right>
      <top style="mediumDashed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mediumDashed">
        <color indexed="64"/>
      </bottom>
      <diagonal/>
    </border>
    <border>
      <left/>
      <right style="medium">
        <color theme="1"/>
      </right>
      <top/>
      <bottom style="mediumDashed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theme="1"/>
      </right>
      <top style="mediumDashed">
        <color indexed="64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 style="mediumDashed">
        <color indexed="64"/>
      </top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 style="medium">
        <color theme="1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rgb="FF222343"/>
      </top>
      <bottom/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222343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76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7" borderId="6" xfId="0" applyFont="1" applyFill="1" applyBorder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5" fillId="7" borderId="0" xfId="0" applyFont="1" applyFill="1" applyAlignment="1">
      <alignment horizontal="justify" vertical="center"/>
    </xf>
    <xf numFmtId="0" fontId="6" fillId="7" borderId="4" xfId="0" applyFont="1" applyFill="1" applyBorder="1" applyAlignment="1">
      <alignment horizontal="left" vertical="center"/>
    </xf>
    <xf numFmtId="0" fontId="0" fillId="0" borderId="6" xfId="0" applyBorder="1"/>
    <xf numFmtId="0" fontId="0" fillId="8" borderId="6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0" borderId="9" xfId="0" applyBorder="1"/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center" wrapText="1"/>
    </xf>
    <xf numFmtId="0" fontId="4" fillId="11" borderId="21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0" borderId="22" xfId="0" applyBorder="1"/>
    <xf numFmtId="0" fontId="10" fillId="8" borderId="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1" fillId="7" borderId="23" xfId="0" applyFont="1" applyFill="1" applyBorder="1" applyAlignment="1">
      <alignment horizontal="left" vertical="center"/>
    </xf>
    <xf numFmtId="0" fontId="5" fillId="7" borderId="24" xfId="0" applyFont="1" applyFill="1" applyBorder="1" applyAlignment="1">
      <alignment horizontal="justify" vertical="center"/>
    </xf>
    <xf numFmtId="0" fontId="0" fillId="11" borderId="13" xfId="0" applyFill="1" applyBorder="1" applyAlignment="1">
      <alignment horizontal="center" vertical="center" wrapText="1"/>
    </xf>
    <xf numFmtId="0" fontId="10" fillId="0" borderId="0" xfId="0" applyFont="1"/>
    <xf numFmtId="0" fontId="0" fillId="11" borderId="23" xfId="0" applyFill="1" applyBorder="1" applyAlignment="1">
      <alignment horizontal="center" vertical="center" wrapText="1"/>
    </xf>
    <xf numFmtId="0" fontId="0" fillId="11" borderId="24" xfId="0" applyFill="1" applyBorder="1" applyAlignment="1">
      <alignment horizontal="center" vertical="center" wrapText="1"/>
    </xf>
    <xf numFmtId="0" fontId="0" fillId="9" borderId="24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11" borderId="14" xfId="0" applyFill="1" applyBorder="1" applyAlignment="1">
      <alignment horizontal="center" vertical="center" wrapText="1"/>
    </xf>
    <xf numFmtId="0" fontId="4" fillId="11" borderId="29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4" fillId="11" borderId="30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left" vertical="center"/>
    </xf>
    <xf numFmtId="9" fontId="11" fillId="12" borderId="29" xfId="1" applyFont="1" applyFill="1" applyBorder="1" applyAlignment="1">
      <alignment horizontal="center" vertical="center" wrapText="1"/>
    </xf>
    <xf numFmtId="9" fontId="11" fillId="12" borderId="21" xfId="1" applyFont="1" applyFill="1" applyBorder="1" applyAlignment="1">
      <alignment horizontal="center" vertical="center" wrapText="1"/>
    </xf>
    <xf numFmtId="9" fontId="10" fillId="12" borderId="4" xfId="0" applyNumberFormat="1" applyFont="1" applyFill="1" applyBorder="1" applyAlignment="1">
      <alignment horizontal="center" vertical="center" wrapText="1"/>
    </xf>
    <xf numFmtId="9" fontId="10" fillId="12" borderId="15" xfId="1" applyFont="1" applyFill="1" applyBorder="1" applyAlignment="1">
      <alignment horizontal="center" vertical="center" wrapText="1"/>
    </xf>
    <xf numFmtId="9" fontId="11" fillId="12" borderId="26" xfId="1" applyFont="1" applyFill="1" applyBorder="1" applyAlignment="1">
      <alignment horizontal="center" vertical="center" wrapText="1"/>
    </xf>
    <xf numFmtId="9" fontId="10" fillId="12" borderId="26" xfId="1" applyFont="1" applyFill="1" applyBorder="1" applyAlignment="1">
      <alignment horizontal="center" vertical="center" wrapText="1"/>
    </xf>
    <xf numFmtId="9" fontId="11" fillId="8" borderId="26" xfId="1" applyFont="1" applyFill="1" applyBorder="1" applyAlignment="1">
      <alignment horizontal="center" vertical="center" wrapText="1"/>
    </xf>
    <xf numFmtId="9" fontId="10" fillId="8" borderId="14" xfId="1" applyFont="1" applyFill="1" applyBorder="1" applyAlignment="1">
      <alignment horizontal="center" vertical="center" wrapText="1"/>
    </xf>
    <xf numFmtId="9" fontId="10" fillId="8" borderId="26" xfId="1" applyFont="1" applyFill="1" applyBorder="1" applyAlignment="1">
      <alignment horizontal="center" vertical="center" wrapText="1"/>
    </xf>
    <xf numFmtId="9" fontId="11" fillId="8" borderId="24" xfId="1" applyFont="1" applyFill="1" applyBorder="1" applyAlignment="1">
      <alignment horizontal="center" vertical="center" wrapText="1"/>
    </xf>
    <xf numFmtId="9" fontId="10" fillId="12" borderId="24" xfId="1" applyFont="1" applyFill="1" applyBorder="1" applyAlignment="1">
      <alignment horizontal="center" vertical="center"/>
    </xf>
    <xf numFmtId="9" fontId="10" fillId="12" borderId="14" xfId="1" applyFont="1" applyFill="1" applyBorder="1" applyAlignment="1">
      <alignment horizontal="center" vertical="center"/>
    </xf>
    <xf numFmtId="9" fontId="10" fillId="8" borderId="15" xfId="1" applyFont="1" applyFill="1" applyBorder="1" applyAlignment="1">
      <alignment horizontal="center" vertical="center" wrapText="1"/>
    </xf>
    <xf numFmtId="9" fontId="10" fillId="12" borderId="26" xfId="1" applyFont="1" applyFill="1" applyBorder="1" applyAlignment="1">
      <alignment horizontal="center" vertical="center"/>
    </xf>
    <xf numFmtId="9" fontId="10" fillId="12" borderId="15" xfId="1" applyFont="1" applyFill="1" applyBorder="1" applyAlignment="1">
      <alignment horizontal="center" vertical="center"/>
    </xf>
    <xf numFmtId="9" fontId="0" fillId="0" borderId="0" xfId="0" applyNumberFormat="1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7" fillId="0" borderId="0" xfId="0" applyFont="1"/>
    <xf numFmtId="49" fontId="10" fillId="0" borderId="9" xfId="0" applyNumberFormat="1" applyFont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0" fillId="9" borderId="4" xfId="0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9" borderId="34" xfId="0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 wrapText="1"/>
    </xf>
    <xf numFmtId="0" fontId="0" fillId="9" borderId="35" xfId="0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0" fontId="0" fillId="9" borderId="42" xfId="0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0" fillId="9" borderId="46" xfId="0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49" fontId="0" fillId="0" borderId="7" xfId="0" applyNumberFormat="1" applyBorder="1" applyAlignment="1">
      <alignment horizontal="left" vertical="center" wrapText="1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left"/>
    </xf>
    <xf numFmtId="0" fontId="12" fillId="0" borderId="3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wrapText="1"/>
    </xf>
    <xf numFmtId="0" fontId="7" fillId="0" borderId="50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49" fontId="12" fillId="0" borderId="47" xfId="0" applyNumberFormat="1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9" fontId="13" fillId="0" borderId="52" xfId="0" applyNumberFormat="1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2" fontId="0" fillId="0" borderId="7" xfId="1" applyNumberFormat="1" applyFont="1" applyBorder="1" applyAlignment="1">
      <alignment horizontal="center" vertical="center" wrapText="1"/>
    </xf>
    <xf numFmtId="2" fontId="10" fillId="0" borderId="7" xfId="1" applyNumberFormat="1" applyFont="1" applyBorder="1" applyAlignment="1">
      <alignment horizontal="center" vertical="center" wrapText="1"/>
    </xf>
    <xf numFmtId="9" fontId="10" fillId="12" borderId="14" xfId="1" applyFont="1" applyFill="1" applyBorder="1" applyAlignment="1">
      <alignment horizontal="center" vertical="center" wrapText="1"/>
    </xf>
    <xf numFmtId="0" fontId="10" fillId="11" borderId="53" xfId="1" applyNumberFormat="1" applyFont="1" applyFill="1" applyBorder="1" applyAlignment="1">
      <alignment horizontal="center" vertical="center" wrapText="1"/>
    </xf>
    <xf numFmtId="0" fontId="10" fillId="9" borderId="53" xfId="1" applyNumberFormat="1" applyFont="1" applyFill="1" applyBorder="1" applyAlignment="1">
      <alignment horizontal="center" vertical="center" wrapText="1"/>
    </xf>
    <xf numFmtId="0" fontId="15" fillId="0" borderId="0" xfId="0" applyFont="1"/>
    <xf numFmtId="9" fontId="11" fillId="12" borderId="56" xfId="1" applyFont="1" applyFill="1" applyBorder="1" applyAlignment="1">
      <alignment horizontal="center" vertical="center" wrapText="1"/>
    </xf>
    <xf numFmtId="9" fontId="11" fillId="12" borderId="57" xfId="1" applyFont="1" applyFill="1" applyBorder="1" applyAlignment="1">
      <alignment horizontal="center" vertical="center" wrapText="1"/>
    </xf>
    <xf numFmtId="0" fontId="4" fillId="11" borderId="58" xfId="0" applyFont="1" applyFill="1" applyBorder="1" applyAlignment="1">
      <alignment horizontal="center" vertical="center" wrapText="1"/>
    </xf>
    <xf numFmtId="0" fontId="4" fillId="11" borderId="59" xfId="0" applyFont="1" applyFill="1" applyBorder="1" applyAlignment="1">
      <alignment horizontal="center" vertical="center" wrapText="1"/>
    </xf>
    <xf numFmtId="9" fontId="10" fillId="12" borderId="60" xfId="1" applyFont="1" applyFill="1" applyBorder="1" applyAlignment="1">
      <alignment horizontal="center" vertical="center"/>
    </xf>
    <xf numFmtId="0" fontId="11" fillId="11" borderId="21" xfId="1" applyNumberFormat="1" applyFont="1" applyFill="1" applyBorder="1" applyAlignment="1">
      <alignment horizontal="center" vertical="center" wrapText="1"/>
    </xf>
    <xf numFmtId="0" fontId="11" fillId="9" borderId="62" xfId="1" applyNumberFormat="1" applyFont="1" applyFill="1" applyBorder="1" applyAlignment="1">
      <alignment horizontal="center" vertical="center" wrapText="1"/>
    </xf>
    <xf numFmtId="0" fontId="4" fillId="11" borderId="63" xfId="0" applyFont="1" applyFill="1" applyBorder="1" applyAlignment="1">
      <alignment horizontal="center" vertical="center" wrapText="1"/>
    </xf>
    <xf numFmtId="0" fontId="11" fillId="11" borderId="63" xfId="1" applyNumberFormat="1" applyFont="1" applyFill="1" applyBorder="1" applyAlignment="1">
      <alignment horizontal="center" vertical="center" wrapText="1"/>
    </xf>
    <xf numFmtId="0" fontId="4" fillId="9" borderId="63" xfId="0" applyFont="1" applyFill="1" applyBorder="1" applyAlignment="1">
      <alignment horizontal="center" vertical="center" wrapText="1"/>
    </xf>
    <xf numFmtId="0" fontId="11" fillId="9" borderId="64" xfId="1" applyNumberFormat="1" applyFont="1" applyFill="1" applyBorder="1" applyAlignment="1">
      <alignment horizontal="center" vertical="center" wrapText="1"/>
    </xf>
    <xf numFmtId="9" fontId="11" fillId="8" borderId="60" xfId="1" applyFont="1" applyFill="1" applyBorder="1" applyAlignment="1">
      <alignment horizontal="center" vertical="center" wrapText="1"/>
    </xf>
    <xf numFmtId="9" fontId="11" fillId="12" borderId="66" xfId="1" applyFont="1" applyFill="1" applyBorder="1" applyAlignment="1">
      <alignment horizontal="center" vertical="center" wrapText="1"/>
    </xf>
    <xf numFmtId="0" fontId="11" fillId="11" borderId="61" xfId="1" applyNumberFormat="1" applyFont="1" applyFill="1" applyBorder="1" applyAlignment="1">
      <alignment horizontal="center" vertical="center" wrapText="1"/>
    </xf>
    <xf numFmtId="9" fontId="11" fillId="12" borderId="67" xfId="1" applyFont="1" applyFill="1" applyBorder="1" applyAlignment="1">
      <alignment horizontal="center" vertical="center" wrapText="1"/>
    </xf>
    <xf numFmtId="0" fontId="4" fillId="9" borderId="61" xfId="0" applyFont="1" applyFill="1" applyBorder="1" applyAlignment="1">
      <alignment horizontal="center" vertical="center" wrapText="1"/>
    </xf>
    <xf numFmtId="9" fontId="11" fillId="8" borderId="61" xfId="1" applyFont="1" applyFill="1" applyBorder="1" applyAlignment="1">
      <alignment horizontal="center" vertical="center" wrapText="1"/>
    </xf>
    <xf numFmtId="0" fontId="11" fillId="9" borderId="68" xfId="1" applyNumberFormat="1" applyFont="1" applyFill="1" applyBorder="1" applyAlignment="1">
      <alignment horizontal="center" vertical="center" wrapText="1"/>
    </xf>
    <xf numFmtId="9" fontId="11" fillId="12" borderId="69" xfId="1" applyFont="1" applyFill="1" applyBorder="1" applyAlignment="1">
      <alignment horizontal="center" vertical="center" wrapText="1"/>
    </xf>
    <xf numFmtId="9" fontId="11" fillId="12" borderId="65" xfId="1" applyFont="1" applyFill="1" applyBorder="1" applyAlignment="1">
      <alignment horizontal="center" vertical="center" wrapText="1"/>
    </xf>
    <xf numFmtId="9" fontId="11" fillId="8" borderId="63" xfId="1" applyFont="1" applyFill="1" applyBorder="1" applyAlignment="1">
      <alignment horizontal="center" vertical="center" wrapText="1"/>
    </xf>
    <xf numFmtId="9" fontId="11" fillId="8" borderId="65" xfId="1" applyFont="1" applyFill="1" applyBorder="1" applyAlignment="1">
      <alignment horizontal="center" vertical="center" wrapText="1"/>
    </xf>
    <xf numFmtId="9" fontId="10" fillId="12" borderId="65" xfId="1" applyFont="1" applyFill="1" applyBorder="1" applyAlignment="1">
      <alignment horizontal="center" vertical="center"/>
    </xf>
    <xf numFmtId="0" fontId="4" fillId="11" borderId="61" xfId="0" applyFont="1" applyFill="1" applyBorder="1" applyAlignment="1">
      <alignment horizontal="center" vertical="center" wrapText="1"/>
    </xf>
    <xf numFmtId="0" fontId="4" fillId="9" borderId="58" xfId="0" applyFont="1" applyFill="1" applyBorder="1" applyAlignment="1">
      <alignment horizontal="center" vertical="center" wrapText="1"/>
    </xf>
    <xf numFmtId="0" fontId="4" fillId="9" borderId="70" xfId="0" applyFont="1" applyFill="1" applyBorder="1" applyAlignment="1">
      <alignment horizontal="center" vertical="center" wrapText="1"/>
    </xf>
    <xf numFmtId="9" fontId="11" fillId="8" borderId="71" xfId="1" applyFont="1" applyFill="1" applyBorder="1" applyAlignment="1">
      <alignment horizontal="center" vertical="center" wrapText="1"/>
    </xf>
    <xf numFmtId="0" fontId="4" fillId="11" borderId="72" xfId="0" applyFont="1" applyFill="1" applyBorder="1" applyAlignment="1">
      <alignment horizontal="center" vertical="center" wrapText="1"/>
    </xf>
    <xf numFmtId="0" fontId="4" fillId="11" borderId="70" xfId="0" applyFont="1" applyFill="1" applyBorder="1" applyAlignment="1">
      <alignment horizontal="center" vertical="center" wrapText="1"/>
    </xf>
    <xf numFmtId="9" fontId="10" fillId="12" borderId="71" xfId="1" applyFont="1" applyFill="1" applyBorder="1" applyAlignment="1">
      <alignment horizontal="center" vertical="center"/>
    </xf>
    <xf numFmtId="9" fontId="11" fillId="8" borderId="73" xfId="1" applyFont="1" applyFill="1" applyBorder="1" applyAlignment="1">
      <alignment horizontal="center" vertical="center" wrapText="1"/>
    </xf>
    <xf numFmtId="9" fontId="11" fillId="12" borderId="74" xfId="1" applyFont="1" applyFill="1" applyBorder="1" applyAlignment="1">
      <alignment horizontal="center" vertical="center" wrapText="1"/>
    </xf>
    <xf numFmtId="0" fontId="11" fillId="11" borderId="72" xfId="1" applyNumberFormat="1" applyFont="1" applyFill="1" applyBorder="1" applyAlignment="1">
      <alignment horizontal="center" vertical="center" wrapText="1"/>
    </xf>
    <xf numFmtId="9" fontId="11" fillId="12" borderId="73" xfId="1" applyFont="1" applyFill="1" applyBorder="1" applyAlignment="1">
      <alignment horizontal="center" vertical="center" wrapText="1"/>
    </xf>
    <xf numFmtId="0" fontId="4" fillId="9" borderId="72" xfId="0" applyFont="1" applyFill="1" applyBorder="1" applyAlignment="1">
      <alignment horizontal="center" vertical="center" wrapText="1"/>
    </xf>
    <xf numFmtId="9" fontId="11" fillId="8" borderId="72" xfId="1" applyFont="1" applyFill="1" applyBorder="1" applyAlignment="1">
      <alignment horizontal="center" vertical="center" wrapText="1"/>
    </xf>
    <xf numFmtId="0" fontId="11" fillId="9" borderId="75" xfId="1" applyNumberFormat="1" applyFont="1" applyFill="1" applyBorder="1" applyAlignment="1">
      <alignment horizontal="center" vertical="center" wrapText="1"/>
    </xf>
    <xf numFmtId="9" fontId="11" fillId="12" borderId="60" xfId="1" applyFont="1" applyFill="1" applyBorder="1" applyAlignment="1">
      <alignment horizontal="center" vertical="center" wrapText="1"/>
    </xf>
    <xf numFmtId="9" fontId="11" fillId="12" borderId="71" xfId="1" applyFont="1" applyFill="1" applyBorder="1" applyAlignment="1">
      <alignment horizontal="center" vertical="center" wrapText="1"/>
    </xf>
    <xf numFmtId="9" fontId="11" fillId="12" borderId="61" xfId="1" applyFont="1" applyFill="1" applyBorder="1" applyAlignment="1">
      <alignment horizontal="center" vertical="center" wrapText="1"/>
    </xf>
    <xf numFmtId="0" fontId="4" fillId="9" borderId="76" xfId="0" applyFont="1" applyFill="1" applyBorder="1" applyAlignment="1">
      <alignment horizontal="center" vertical="center" wrapText="1"/>
    </xf>
    <xf numFmtId="0" fontId="0" fillId="9" borderId="77" xfId="0" applyFill="1" applyBorder="1" applyAlignment="1">
      <alignment horizontal="center" vertical="center" wrapText="1"/>
    </xf>
    <xf numFmtId="9" fontId="10" fillId="8" borderId="60" xfId="1" applyFont="1" applyFill="1" applyBorder="1" applyAlignment="1">
      <alignment horizontal="center" vertical="center" wrapText="1"/>
    </xf>
    <xf numFmtId="0" fontId="0" fillId="11" borderId="61" xfId="0" applyFill="1" applyBorder="1" applyAlignment="1">
      <alignment horizontal="center" vertical="center" wrapText="1"/>
    </xf>
    <xf numFmtId="9" fontId="10" fillId="12" borderId="67" xfId="1" applyFont="1" applyFill="1" applyBorder="1" applyAlignment="1">
      <alignment horizontal="center" vertical="center" wrapText="1"/>
    </xf>
    <xf numFmtId="9" fontId="10" fillId="12" borderId="24" xfId="1" applyFont="1" applyFill="1" applyBorder="1" applyAlignment="1">
      <alignment horizontal="center" vertical="center" wrapText="1"/>
    </xf>
    <xf numFmtId="9" fontId="11" fillId="12" borderId="72" xfId="1" applyFont="1" applyFill="1" applyBorder="1" applyAlignment="1">
      <alignment horizontal="center" vertical="center" wrapText="1"/>
    </xf>
    <xf numFmtId="0" fontId="4" fillId="9" borderId="77" xfId="0" applyFont="1" applyFill="1" applyBorder="1" applyAlignment="1">
      <alignment horizontal="center" vertical="center" wrapText="1"/>
    </xf>
    <xf numFmtId="0" fontId="4" fillId="9" borderId="59" xfId="0" applyFont="1" applyFill="1" applyBorder="1" applyAlignment="1">
      <alignment horizontal="center" vertical="center" wrapText="1"/>
    </xf>
    <xf numFmtId="9" fontId="11" fillId="12" borderId="17" xfId="1" applyFont="1" applyFill="1" applyBorder="1" applyAlignment="1">
      <alignment horizontal="center" vertical="center" wrapText="1"/>
    </xf>
    <xf numFmtId="9" fontId="11" fillId="12" borderId="63" xfId="1" applyFont="1" applyFill="1" applyBorder="1" applyAlignment="1">
      <alignment horizontal="center" vertical="center" wrapText="1"/>
    </xf>
    <xf numFmtId="0" fontId="0" fillId="11" borderId="54" xfId="0" applyFill="1" applyBorder="1" applyAlignment="1">
      <alignment horizontal="center" vertical="center" wrapText="1"/>
    </xf>
    <xf numFmtId="9" fontId="10" fillId="8" borderId="26" xfId="0" applyNumberFormat="1" applyFont="1" applyFill="1" applyBorder="1" applyAlignment="1">
      <alignment horizontal="center" vertical="center" wrapText="1"/>
    </xf>
    <xf numFmtId="9" fontId="10" fillId="8" borderId="24" xfId="1" applyFont="1" applyFill="1" applyBorder="1" applyAlignment="1">
      <alignment horizontal="center" vertical="center" wrapText="1"/>
    </xf>
    <xf numFmtId="0" fontId="4" fillId="11" borderId="64" xfId="0" applyFont="1" applyFill="1" applyBorder="1" applyAlignment="1">
      <alignment horizontal="center" vertical="center" wrapText="1"/>
    </xf>
    <xf numFmtId="0" fontId="4" fillId="9" borderId="78" xfId="0" applyFont="1" applyFill="1" applyBorder="1" applyAlignment="1">
      <alignment horizontal="center" vertical="center" wrapText="1"/>
    </xf>
    <xf numFmtId="9" fontId="11" fillId="8" borderId="79" xfId="1" applyFont="1" applyFill="1" applyBorder="1" applyAlignment="1">
      <alignment horizontal="center" vertical="center" wrapText="1"/>
    </xf>
    <xf numFmtId="0" fontId="4" fillId="11" borderId="68" xfId="0" applyFont="1" applyFill="1" applyBorder="1" applyAlignment="1">
      <alignment horizontal="center" vertical="center" wrapText="1"/>
    </xf>
    <xf numFmtId="0" fontId="4" fillId="9" borderId="80" xfId="0" applyFont="1" applyFill="1" applyBorder="1" applyAlignment="1">
      <alignment horizontal="center" vertical="center" wrapText="1"/>
    </xf>
    <xf numFmtId="9" fontId="11" fillId="8" borderId="67" xfId="1" applyFont="1" applyFill="1" applyBorder="1" applyAlignment="1">
      <alignment horizontal="center" vertical="center" wrapText="1"/>
    </xf>
    <xf numFmtId="0" fontId="4" fillId="11" borderId="83" xfId="0" applyFont="1" applyFill="1" applyBorder="1" applyAlignment="1">
      <alignment horizontal="center" vertical="center" wrapText="1"/>
    </xf>
    <xf numFmtId="9" fontId="0" fillId="0" borderId="0" xfId="1" applyFont="1"/>
    <xf numFmtId="10" fontId="0" fillId="0" borderId="0" xfId="0" applyNumberFormat="1"/>
    <xf numFmtId="0" fontId="1" fillId="7" borderId="23" xfId="0" applyFont="1" applyFill="1" applyBorder="1" applyAlignment="1">
      <alignment horizontal="left" vertical="center" wrapText="1"/>
    </xf>
    <xf numFmtId="0" fontId="1" fillId="7" borderId="24" xfId="0" applyFont="1" applyFill="1" applyBorder="1" applyAlignment="1">
      <alignment horizontal="left" vertical="center" wrapText="1"/>
    </xf>
    <xf numFmtId="0" fontId="5" fillId="7" borderId="24" xfId="0" applyFont="1" applyFill="1" applyBorder="1" applyAlignment="1">
      <alignment horizontal="justify" vertical="center" wrapText="1"/>
    </xf>
    <xf numFmtId="0" fontId="6" fillId="7" borderId="24" xfId="0" applyFont="1" applyFill="1" applyBorder="1" applyAlignment="1">
      <alignment horizontal="left" vertical="center" wrapText="1"/>
    </xf>
    <xf numFmtId="9" fontId="10" fillId="12" borderId="65" xfId="1" applyFont="1" applyFill="1" applyBorder="1" applyAlignment="1">
      <alignment horizontal="center" vertical="center" wrapText="1"/>
    </xf>
    <xf numFmtId="9" fontId="10" fillId="12" borderId="60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0" fontId="0" fillId="0" borderId="7" xfId="2" applyNumberFormat="1" applyFon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12" xfId="0" applyBorder="1" applyAlignment="1">
      <alignment vertical="center"/>
    </xf>
    <xf numFmtId="9" fontId="0" fillId="0" borderId="7" xfId="1" applyFon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9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left" vertical="center" wrapText="1"/>
    </xf>
    <xf numFmtId="0" fontId="0" fillId="0" borderId="49" xfId="0" applyBorder="1"/>
    <xf numFmtId="0" fontId="7" fillId="0" borderId="85" xfId="0" applyFont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0" fillId="0" borderId="48" xfId="0" applyBorder="1" applyAlignment="1">
      <alignment horizontal="left" vertical="center" wrapText="1"/>
    </xf>
    <xf numFmtId="0" fontId="0" fillId="14" borderId="7" xfId="0" applyFill="1" applyBorder="1" applyAlignment="1">
      <alignment horizontal="left" vertical="center" wrapText="1"/>
    </xf>
    <xf numFmtId="0" fontId="0" fillId="14" borderId="7" xfId="0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justify" vertical="center" wrapText="1"/>
    </xf>
    <xf numFmtId="0" fontId="4" fillId="7" borderId="0" xfId="0" applyFont="1" applyFill="1" applyAlignment="1">
      <alignment horizontal="justify" vertical="center" wrapText="1"/>
    </xf>
    <xf numFmtId="0" fontId="4" fillId="7" borderId="4" xfId="0" applyFont="1" applyFill="1" applyBorder="1" applyAlignment="1">
      <alignment horizontal="justify" vertical="center" wrapText="1"/>
    </xf>
    <xf numFmtId="0" fontId="4" fillId="7" borderId="1" xfId="0" applyFont="1" applyFill="1" applyBorder="1" applyAlignment="1">
      <alignment horizontal="justify" vertical="center" wrapText="1"/>
    </xf>
    <xf numFmtId="0" fontId="8" fillId="0" borderId="10" xfId="0" applyFont="1" applyBorder="1" applyAlignment="1">
      <alignment horizontal="center"/>
    </xf>
    <xf numFmtId="0" fontId="3" fillId="11" borderId="23" xfId="0" applyFont="1" applyFill="1" applyBorder="1" applyAlignment="1">
      <alignment horizontal="left" vertical="center" wrapText="1"/>
    </xf>
    <xf numFmtId="0" fontId="3" fillId="11" borderId="26" xfId="0" applyFont="1" applyFill="1" applyBorder="1" applyAlignment="1">
      <alignment horizontal="left" vertical="center" wrapText="1"/>
    </xf>
    <xf numFmtId="0" fontId="3" fillId="9" borderId="13" xfId="0" applyFont="1" applyFill="1" applyBorder="1" applyAlignment="1">
      <alignment horizontal="left" vertical="center" wrapText="1"/>
    </xf>
    <xf numFmtId="0" fontId="3" fillId="9" borderId="55" xfId="0" applyFont="1" applyFill="1" applyBorder="1" applyAlignment="1">
      <alignment horizontal="left" vertical="center" wrapText="1"/>
    </xf>
    <xf numFmtId="0" fontId="5" fillId="7" borderId="81" xfId="0" applyFont="1" applyFill="1" applyBorder="1" applyAlignment="1">
      <alignment horizontal="left" vertical="center" wrapText="1"/>
    </xf>
    <xf numFmtId="0" fontId="5" fillId="7" borderId="16" xfId="0" applyFont="1" applyFill="1" applyBorder="1" applyAlignment="1">
      <alignment horizontal="left" vertical="center" wrapText="1"/>
    </xf>
    <xf numFmtId="0" fontId="5" fillId="7" borderId="31" xfId="0" applyFont="1" applyFill="1" applyBorder="1" applyAlignment="1">
      <alignment horizontal="left" vertical="center" wrapText="1"/>
    </xf>
    <xf numFmtId="0" fontId="5" fillId="7" borderId="0" xfId="0" applyFont="1" applyFill="1" applyAlignment="1">
      <alignment horizontal="left" vertical="center" wrapText="1"/>
    </xf>
    <xf numFmtId="0" fontId="5" fillId="7" borderId="82" xfId="0" applyFont="1" applyFill="1" applyBorder="1" applyAlignment="1">
      <alignment horizontal="left" vertical="center" wrapText="1"/>
    </xf>
    <xf numFmtId="0" fontId="5" fillId="7" borderId="17" xfId="0" applyFont="1" applyFill="1" applyBorder="1" applyAlignment="1">
      <alignment horizontal="left" vertical="center" wrapText="1"/>
    </xf>
    <xf numFmtId="0" fontId="3" fillId="11" borderId="13" xfId="0" applyFont="1" applyFill="1" applyBorder="1" applyAlignment="1">
      <alignment horizontal="left" vertical="center" wrapText="1"/>
    </xf>
    <xf numFmtId="0" fontId="3" fillId="11" borderId="15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11" borderId="5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6" xfId="0" applyFont="1" applyFill="1" applyBorder="1" applyAlignment="1">
      <alignment horizontal="left" vertical="center" wrapText="1"/>
    </xf>
    <xf numFmtId="0" fontId="3" fillId="9" borderId="15" xfId="0" applyFont="1" applyFill="1" applyBorder="1" applyAlignment="1">
      <alignment horizontal="left" vertical="center" wrapText="1"/>
    </xf>
    <xf numFmtId="0" fontId="4" fillId="7" borderId="17" xfId="0" applyFont="1" applyFill="1" applyBorder="1" applyAlignment="1">
      <alignment horizontal="justify" vertical="center" wrapText="1"/>
    </xf>
    <xf numFmtId="0" fontId="4" fillId="7" borderId="28" xfId="0" applyFont="1" applyFill="1" applyBorder="1" applyAlignment="1">
      <alignment horizontal="justify" vertical="center" wrapText="1"/>
    </xf>
    <xf numFmtId="0" fontId="4" fillId="7" borderId="24" xfId="0" applyFont="1" applyFill="1" applyBorder="1" applyAlignment="1">
      <alignment horizontal="justify" vertical="center" wrapText="1"/>
    </xf>
    <xf numFmtId="0" fontId="4" fillId="7" borderId="26" xfId="0" applyFont="1" applyFill="1" applyBorder="1" applyAlignment="1">
      <alignment horizontal="justify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4" fillId="7" borderId="84" xfId="0" applyFont="1" applyFill="1" applyBorder="1" applyAlignment="1">
      <alignment horizontal="justify" vertical="center" wrapText="1"/>
    </xf>
    <xf numFmtId="0" fontId="4" fillId="7" borderId="22" xfId="0" applyFont="1" applyFill="1" applyBorder="1" applyAlignment="1">
      <alignment horizontal="justify" vertical="center" wrapText="1"/>
    </xf>
    <xf numFmtId="0" fontId="3" fillId="9" borderId="25" xfId="0" applyFont="1" applyFill="1" applyBorder="1" applyAlignment="1">
      <alignment horizontal="left" vertical="center" wrapText="1"/>
    </xf>
    <xf numFmtId="0" fontId="3" fillId="9" borderId="23" xfId="0" applyFont="1" applyFill="1" applyBorder="1" applyAlignment="1">
      <alignment horizontal="left" vertical="center" wrapText="1"/>
    </xf>
    <xf numFmtId="0" fontId="3" fillId="11" borderId="23" xfId="0" applyFont="1" applyFill="1" applyBorder="1" applyAlignment="1">
      <alignment horizontal="left" vertical="center"/>
    </xf>
    <xf numFmtId="0" fontId="3" fillId="11" borderId="26" xfId="0" applyFont="1" applyFill="1" applyBorder="1" applyAlignment="1">
      <alignment horizontal="left" vertical="center"/>
    </xf>
    <xf numFmtId="0" fontId="3" fillId="11" borderId="54" xfId="0" applyFont="1" applyFill="1" applyBorder="1" applyAlignment="1">
      <alignment horizontal="left" vertical="center"/>
    </xf>
    <xf numFmtId="0" fontId="3" fillId="11" borderId="27" xfId="0" applyFont="1" applyFill="1" applyBorder="1" applyAlignment="1">
      <alignment horizontal="left" vertical="center"/>
    </xf>
    <xf numFmtId="0" fontId="3" fillId="11" borderId="25" xfId="0" applyFont="1" applyFill="1" applyBorder="1" applyAlignment="1">
      <alignment horizontal="left" vertical="center"/>
    </xf>
    <xf numFmtId="0" fontId="3" fillId="11" borderId="56" xfId="0" applyFont="1" applyFill="1" applyBorder="1" applyAlignment="1">
      <alignment horizontal="left" vertical="center"/>
    </xf>
    <xf numFmtId="0" fontId="16" fillId="0" borderId="0" xfId="0" applyFont="1" applyAlignment="1">
      <alignment horizontal="left" wrapText="1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/>
              <a:t>Les objectifs du programme ont-ils été atteints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3B-0442-9086-4DD37A11E767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3B-0442-9086-4DD37A11E767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3B-0442-9086-4DD37A11E767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3B-0442-9086-4DD37A11E767}"/>
              </c:ext>
            </c:extLst>
          </c:dPt>
          <c:dLbls>
            <c:dLbl>
              <c:idx val="0"/>
              <c:layout>
                <c:manualLayout>
                  <c:x val="-9.5788575542262125E-2"/>
                  <c:y val="7.30018754392568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3B-0442-9086-4DD37A11E767}"/>
                </c:ext>
              </c:extLst>
            </c:dLbl>
            <c:dLbl>
              <c:idx val="1"/>
              <c:layout>
                <c:manualLayout>
                  <c:x val="9.7652197508950156E-2"/>
                  <c:y val="4.1295170131323958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3532412486186282"/>
                      <c:h val="9.78562357397255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F3B-0442-9086-4DD37A11E767}"/>
                </c:ext>
              </c:extLst>
            </c:dLbl>
            <c:dLbl>
              <c:idx val="2"/>
              <c:layout>
                <c:manualLayout>
                  <c:x val="1.8374144495496618E-2"/>
                  <c:y val="-0.23193304308899185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502788488639157"/>
                      <c:h val="0.107110427099665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F3B-0442-9086-4DD37A11E767}"/>
                </c:ext>
              </c:extLst>
            </c:dLbl>
            <c:dLbl>
              <c:idx val="3"/>
              <c:layout>
                <c:manualLayout>
                  <c:x val="0.17631772001191445"/>
                  <c:y val="-2.533091493199845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9.8026288452333105E-2"/>
                      <c:h val="0.15434245151609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F3B-0442-9086-4DD37A11E76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'pratiques religieuses'!$I$1:$L$1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'pratiques religieuses'!$I$2:$L$2</c:f>
              <c:numCache>
                <c:formatCode>0.00%</c:formatCode>
                <c:ptCount val="4"/>
                <c:pt idx="0" formatCode="General">
                  <c:v>0</c:v>
                </c:pt>
                <c:pt idx="1">
                  <c:v>5.185185185185185E-2</c:v>
                </c:pt>
                <c:pt idx="2">
                  <c:v>0.94814814814814818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3B-0442-9086-4DD37A11E76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/>
              <a:t>La</a:t>
            </a:r>
            <a:r>
              <a:rPr lang="fr-FR" sz="1800" b="1" baseline="0"/>
              <a:t> formation a-t-elle répondu à vos attentes ?</a:t>
            </a:r>
            <a:endParaRPr lang="fr-FR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32D-6A4D-9C17-1E0DE09BB84D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2D-6A4D-9C17-1E0DE09BB84D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2D-6A4D-9C17-1E0DE09BB84D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32D-6A4D-9C17-1E0DE09BB84D}"/>
              </c:ext>
            </c:extLst>
          </c:dPt>
          <c:dLbls>
            <c:dLbl>
              <c:idx val="0"/>
              <c:layout>
                <c:manualLayout>
                  <c:x val="-7.2879324638527879E-2"/>
                  <c:y val="7.986583261540836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2D-6A4D-9C17-1E0DE09BB84D}"/>
                </c:ext>
              </c:extLst>
            </c:dLbl>
            <c:dLbl>
              <c:idx val="2"/>
              <c:layout>
                <c:manualLayout>
                  <c:x val="2.7653185012787507E-2"/>
                  <c:y val="-0.17445162522052687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315938138827617"/>
                      <c:h val="0.144272510617879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32D-6A4D-9C17-1E0DE09BB84D}"/>
                </c:ext>
              </c:extLst>
            </c:dLbl>
            <c:dLbl>
              <c:idx val="3"/>
              <c:layout>
                <c:manualLayout>
                  <c:x val="0.13413264942978695"/>
                  <c:y val="-0.23429661370143021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192682849396043"/>
                      <c:h val="0.104083034016480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232D-6A4D-9C17-1E0DE09BB84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racisme!$I$25:$L$25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racisme!$I$26:$L$26</c:f>
              <c:numCache>
                <c:formatCode>0.00%</c:formatCode>
                <c:ptCount val="4"/>
                <c:pt idx="0" formatCode="General">
                  <c:v>0</c:v>
                </c:pt>
                <c:pt idx="1">
                  <c:v>1.4285714285714285E-2</c:v>
                </c:pt>
                <c:pt idx="2">
                  <c:v>0.98571428571428577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2D-6A4D-9C17-1E0DE09BB84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Êtes-vous satisfait.e de la formation ?</a:t>
            </a:r>
            <a:endParaRPr lang="fr-FR" sz="1800" b="1">
              <a:effectLst/>
            </a:endParaRP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7000-9946-8443-9F1549AE349A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7000-9946-8443-9F1549AE349A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7000-9946-8443-9F1549AE349A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7000-9946-8443-9F1549AE349A}"/>
              </c:ext>
            </c:extLst>
          </c:dPt>
          <c:dLbls>
            <c:dLbl>
              <c:idx val="0"/>
              <c:layout>
                <c:manualLayout>
                  <c:x val="0"/>
                  <c:y val="-1.0195584629473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000-9946-8443-9F1549AE349A}"/>
                </c:ext>
              </c:extLst>
            </c:dLbl>
            <c:dLbl>
              <c:idx val="1"/>
              <c:layout>
                <c:manualLayout>
                  <c:x val="-0.1443357245989384"/>
                  <c:y val="5.097792314736894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000-9946-8443-9F1549AE349A}"/>
                </c:ext>
              </c:extLst>
            </c:dLbl>
            <c:dLbl>
              <c:idx val="2"/>
              <c:layout>
                <c:manualLayout>
                  <c:x val="2.0601167415927064E-2"/>
                  <c:y val="-0.27735183794729779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8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14191427606156184"/>
                      <c:h val="9.97889667905074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7000-9946-8443-9F1549AE349A}"/>
                </c:ext>
              </c:extLst>
            </c:dLbl>
            <c:dLbl>
              <c:idx val="3"/>
              <c:layout>
                <c:manualLayout>
                  <c:x val="-2.8239598291096644E-2"/>
                  <c:y val="-0.25539859216637911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8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9.7123021779332686E-2"/>
                      <c:h val="8.38001066008992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7000-9946-8443-9F1549AE349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85000"/>
                  </a:sys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racisme!$I$51:$L$51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racisme!$I$52:$L$52</c:f>
              <c:numCache>
                <c:formatCode>0.00%</c:formatCode>
                <c:ptCount val="4"/>
                <c:pt idx="0" formatCode="General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000-9946-8443-9F1549AE349A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000-9946-8443-9F1549AE349A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000-9946-8443-9F1549AE349A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000-9946-8443-9F1549AE349A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000-9946-8443-9F1549AE349A}"/>
              </c:ext>
            </c:extLst>
          </c:dPt>
          <c:dLbls>
            <c:dLbl>
              <c:idx val="0"/>
              <c:layout>
                <c:manualLayout>
                  <c:x val="3.9640094234817458E-2"/>
                  <c:y val="1.65109071550693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00-9946-8443-9F1549AE349A}"/>
                </c:ext>
              </c:extLst>
            </c:dLbl>
            <c:dLbl>
              <c:idx val="1"/>
              <c:layout>
                <c:manualLayout>
                  <c:x val="-7.5707317434052401E-2"/>
                  <c:y val="3.091957497570314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00-9946-8443-9F1549AE349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4.2576865076413069E-2"/>
                      <c:h val="4.90903337979768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7000-9946-8443-9F1549AE349A}"/>
                </c:ext>
              </c:extLst>
            </c:dLbl>
            <c:dLbl>
              <c:idx val="3"/>
              <c:layout>
                <c:manualLayout>
                  <c:x val="-1.5659254619480687E-3"/>
                  <c:y val="-0.1909212651916283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oui plutôt/</a:t>
                    </a:r>
                    <a:fld id="{17B24E97-CD87-DE48-97D5-FBD44BA40D04}" type="CATEGORYNAME">
                      <a:rPr lang="en-US"/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 DE CATÉGORIE]</a:t>
                    </a:fld>
                    <a:r>
                      <a:rPr lang="en-US" baseline="0"/>
                      <a:t>
</a:t>
                    </a:r>
                    <a:fld id="{6059C5D8-2FB0-8145-BC88-614A4F15969F}" type="PERCENTAGE">
                      <a:rPr lang="en-US" baseline="0"/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[POURCENTAGE]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7000-9946-8443-9F1549AE349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racisme!$I$51:$L$51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racisme!$I$52:$L$52</c:f>
              <c:numCache>
                <c:formatCode>0.00%</c:formatCode>
                <c:ptCount val="4"/>
                <c:pt idx="0" formatCode="General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000-9946-8443-9F1549AE349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u="none" strike="noStrike" baseline="0">
                <a:effectLst/>
              </a:rPr>
              <a:t>Cette formation vous a-t-elle apporté des éléments utiles pour votre travail au quotidien ?</a:t>
            </a:r>
            <a:r>
              <a:rPr lang="fr-FR" sz="1400" b="1" i="0" baseline="0">
                <a:effectLst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98-7946-A990-97ADF28D0687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98-7946-A990-97ADF28D0687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E98-7946-A990-97ADF28D0687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E98-7946-A990-97ADF28D0687}"/>
              </c:ext>
            </c:extLst>
          </c:dPt>
          <c:dLbls>
            <c:dLbl>
              <c:idx val="0"/>
              <c:layout>
                <c:manualLayout>
                  <c:x val="-9.7303135854542075E-2"/>
                  <c:y val="9.943082114735657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98-7946-A990-97ADF28D0687}"/>
                </c:ext>
              </c:extLst>
            </c:dLbl>
            <c:dLbl>
              <c:idx val="1"/>
              <c:layout>
                <c:manualLayout>
                  <c:x val="2.4052740766051715E-2"/>
                  <c:y val="1.86683914510686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98-7946-A990-97ADF28D0687}"/>
                </c:ext>
              </c:extLst>
            </c:dLbl>
            <c:dLbl>
              <c:idx val="3"/>
              <c:layout>
                <c:manualLayout>
                  <c:x val="6.8283597321768114E-2"/>
                  <c:y val="-0.205066554180727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98-7946-A990-97ADF28D068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racisme!$I$82:$L$82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racisme!$I$83:$L$83</c:f>
              <c:numCache>
                <c:formatCode>0.00%</c:formatCode>
                <c:ptCount val="4"/>
                <c:pt idx="0" formatCode="General">
                  <c:v>0</c:v>
                </c:pt>
                <c:pt idx="1">
                  <c:v>1.4285714285714285E-2</c:v>
                </c:pt>
                <c:pt idx="2">
                  <c:v>0.98571428571428577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98-7946-A990-97ADF28D068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/>
              <a:t>Les objectifs du programme ont-ils été atteints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78-3445-9B42-D44DA77FD46B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78-3445-9B42-D44DA77FD46B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78-3445-9B42-D44DA77FD46B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78-3445-9B42-D44DA77FD46B}"/>
              </c:ext>
            </c:extLst>
          </c:dPt>
          <c:dLbls>
            <c:dLbl>
              <c:idx val="0"/>
              <c:layout>
                <c:manualLayout>
                  <c:x val="-8.9968503846175121E-2"/>
                  <c:y val="1.1532743556843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78-3445-9B42-D44DA77FD46B}"/>
                </c:ext>
              </c:extLst>
            </c:dLbl>
            <c:dLbl>
              <c:idx val="1"/>
              <c:layout>
                <c:manualLayout>
                  <c:x val="2.107088806393824E-2"/>
                  <c:y val="7.648449756934963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78-3445-9B42-D44DA77FD46B}"/>
                </c:ext>
              </c:extLst>
            </c:dLbl>
            <c:dLbl>
              <c:idx val="2"/>
              <c:layout>
                <c:manualLayout>
                  <c:x val="9.1344887807511925E-3"/>
                  <c:y val="-0.251273302925560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737658325119829"/>
                      <c:h val="9.96092882333392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778-3445-9B42-D44DA77FD46B}"/>
                </c:ext>
              </c:extLst>
            </c:dLbl>
            <c:dLbl>
              <c:idx val="3"/>
              <c:layout>
                <c:manualLayout>
                  <c:x val="0.10339289770925322"/>
                  <c:y val="-0.2502233032671281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563094422660548E-2"/>
                      <c:h val="0.129313340047350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778-3445-9B42-D44DA77FD46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famille!$I$4:$L$4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famille!$I$5:$L$5</c:f>
              <c:numCache>
                <c:formatCode>0.00%</c:formatCode>
                <c:ptCount val="4"/>
                <c:pt idx="0" formatCode="General">
                  <c:v>0</c:v>
                </c:pt>
                <c:pt idx="1">
                  <c:v>6.024096385542169E-3</c:v>
                </c:pt>
                <c:pt idx="2">
                  <c:v>0.99397590361445787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778-3445-9B42-D44DA77FD46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/>
              <a:t>La</a:t>
            </a:r>
            <a:r>
              <a:rPr lang="fr-FR" sz="1800" b="1" baseline="0"/>
              <a:t> formation a-t-elle répondu à vos attentes ?</a:t>
            </a:r>
            <a:endParaRPr lang="fr-FR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BA7-E043-A9DD-C4A0999FBBE7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A7-E043-A9DD-C4A0999FBBE7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BA7-E043-A9DD-C4A0999FBBE7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C9-4C45-AB6E-8917F15B8DF5}"/>
              </c:ext>
            </c:extLst>
          </c:dPt>
          <c:dLbls>
            <c:dLbl>
              <c:idx val="0"/>
              <c:layout>
                <c:manualLayout>
                  <c:x val="-6.8278436706637233E-2"/>
                  <c:y val="1.57765833074914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409388717485047E-2"/>
                      <c:h val="6.97344814350951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BA7-E043-A9DD-C4A0999FBBE7}"/>
                </c:ext>
              </c:extLst>
            </c:dLbl>
            <c:dLbl>
              <c:idx val="1"/>
              <c:layout>
                <c:manualLayout>
                  <c:x val="4.0076473719113125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A7-E043-A9DD-C4A0999FBBE7}"/>
                </c:ext>
              </c:extLst>
            </c:dLbl>
            <c:dLbl>
              <c:idx val="2"/>
              <c:layout>
                <c:manualLayout>
                  <c:x val="-2.5363937963269613E-2"/>
                  <c:y val="-0.20103054762647027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721647200532182"/>
                      <c:h val="0.117311302308948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BA7-E043-A9DD-C4A0999FBBE7}"/>
                </c:ext>
              </c:extLst>
            </c:dLbl>
            <c:dLbl>
              <c:idx val="3"/>
              <c:layout>
                <c:manualLayout>
                  <c:x val="0.10241765505995576"/>
                  <c:y val="-0.1053903009119588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7.7823042207574397E-2"/>
                      <c:h val="0.107397355551762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EEC9-4C45-AB6E-8917F15B8DF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famille!$I$36:$L$36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famille!$I$37:$L$37</c:f>
              <c:numCache>
                <c:formatCode>0.00%</c:formatCode>
                <c:ptCount val="4"/>
                <c:pt idx="0" formatCode="General">
                  <c:v>1.2048192771084338E-2</c:v>
                </c:pt>
                <c:pt idx="1">
                  <c:v>1.8072289156626505E-2</c:v>
                </c:pt>
                <c:pt idx="2">
                  <c:v>0.96987951807228912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A7-E043-A9DD-C4A0999FBBE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Êtes-vous satisfait.e de la formation ?</a:t>
            </a:r>
            <a:endParaRPr lang="fr-FR" sz="1800" b="1">
              <a:effectLst/>
            </a:endParaRPr>
          </a:p>
          <a:p>
            <a:pPr>
              <a:defRPr b="1"/>
            </a:pP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D7-B64A-9F0F-3716B48E97E1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D7-B64A-9F0F-3716B48E97E1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D7-B64A-9F0F-3716B48E97E1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D7-B64A-9F0F-3716B48E97E1}"/>
              </c:ext>
            </c:extLst>
          </c:dPt>
          <c:dLbls>
            <c:dLbl>
              <c:idx val="0"/>
              <c:layout>
                <c:manualLayout>
                  <c:x val="5.1229508196720683E-3"/>
                  <c:y val="-7.740051291552496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D7-B64A-9F0F-3716B48E97E1}"/>
                </c:ext>
              </c:extLst>
            </c:dLbl>
            <c:dLbl>
              <c:idx val="1"/>
              <c:layout>
                <c:manualLayout>
                  <c:x val="-0.11099726775956284"/>
                  <c:y val="-5.160034194368330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D7-B64A-9F0F-3716B48E97E1}"/>
                </c:ext>
              </c:extLst>
            </c:dLbl>
            <c:dLbl>
              <c:idx val="2"/>
              <c:layout>
                <c:manualLayout>
                  <c:x val="-2.116328239909341E-2"/>
                  <c:y val="-0.20749349434441405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211890603421973"/>
                      <c:h val="0.136687253964285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CD7-B64A-9F0F-3716B48E97E1}"/>
                </c:ext>
              </c:extLst>
            </c:dLbl>
            <c:dLbl>
              <c:idx val="3"/>
              <c:layout>
                <c:manualLayout>
                  <c:x val="1.8784153005464481E-2"/>
                  <c:y val="-0.1986613164831808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9.6363242760638526E-2"/>
                      <c:h val="0.101146421455340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CD7-B64A-9F0F-3716B48E97E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famille!$I$62:$L$62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famille!$I$63:$L$63</c:f>
              <c:numCache>
                <c:formatCode>0.00%</c:formatCode>
                <c:ptCount val="4"/>
                <c:pt idx="0" formatCode="General">
                  <c:v>0</c:v>
                </c:pt>
                <c:pt idx="1">
                  <c:v>1.8072289156626505E-2</c:v>
                </c:pt>
                <c:pt idx="2">
                  <c:v>0.98192771084337349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D7-B64A-9F0F-3716B48E97E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u="none" strike="noStrike" baseline="0">
                <a:effectLst/>
              </a:rPr>
              <a:t>Cette formation vous a-t-elle apporté des éléments utiles pour votre travail au quotidien ?</a:t>
            </a:r>
            <a:r>
              <a:rPr lang="fr-FR" sz="1400" b="1" i="0" baseline="0">
                <a:effectLst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BE9-2146-93F9-0D3385FFE9A3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E9-2146-93F9-0D3385FFE9A3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BE9-2146-93F9-0D3385FFE9A3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BE9-2146-93F9-0D3385FFE9A3}"/>
              </c:ext>
            </c:extLst>
          </c:dPt>
          <c:dLbls>
            <c:dLbl>
              <c:idx val="0"/>
              <c:layout>
                <c:manualLayout>
                  <c:x val="-0.12573868465982194"/>
                  <c:y val="1.21911319775299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E9-2146-93F9-0D3385FFE9A3}"/>
                </c:ext>
              </c:extLst>
            </c:dLbl>
            <c:dLbl>
              <c:idx val="2"/>
              <c:layout>
                <c:manualLayout>
                  <c:x val="2.4321346110707274E-2"/>
                  <c:y val="-0.209960310899877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259190149369375"/>
                      <c:h val="0.125323218181376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BE9-2146-93F9-0D3385FFE9A3}"/>
                </c:ext>
              </c:extLst>
            </c:dLbl>
            <c:dLbl>
              <c:idx val="3"/>
              <c:layout>
                <c:manualLayout>
                  <c:x val="0.15555220080492771"/>
                  <c:y val="-5.47136295463067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E9-2146-93F9-0D3385FFE9A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famille!$I$94:$L$94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famille!$I$95:$L$95</c:f>
              <c:numCache>
                <c:formatCode>0.00%</c:formatCode>
                <c:ptCount val="4"/>
                <c:pt idx="0" formatCode="General">
                  <c:v>1.8072289156626505E-2</c:v>
                </c:pt>
                <c:pt idx="1">
                  <c:v>4.2168674698795178E-2</c:v>
                </c:pt>
                <c:pt idx="2">
                  <c:v>0.93975903614457834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E9-2146-93F9-0D3385FFE9A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/>
              <a:t>Les objectifs du programme ont-ils été atteints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4B-4F47-9F9C-299581848108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4B-4F47-9F9C-299581848108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4B-4F47-9F9C-299581848108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44B-4F47-9F9C-299581848108}"/>
              </c:ext>
            </c:extLst>
          </c:dPt>
          <c:dLbls>
            <c:dLbl>
              <c:idx val="0"/>
              <c:layout>
                <c:manualLayout>
                  <c:x val="-0.11355405444659906"/>
                  <c:y val="2.21941405233158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4B-4F47-9F9C-299581848108}"/>
                </c:ext>
              </c:extLst>
            </c:dLbl>
            <c:dLbl>
              <c:idx val="1"/>
              <c:layout>
                <c:manualLayout>
                  <c:x val="0.15069669546481826"/>
                  <c:y val="2.58609041234287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4B-4F47-9F9C-299581848108}"/>
                </c:ext>
              </c:extLst>
            </c:dLbl>
            <c:dLbl>
              <c:idx val="2"/>
              <c:layout>
                <c:manualLayout>
                  <c:x val="-1.4395438615789522E-2"/>
                  <c:y val="-0.1993910978140083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4B-4F47-9F9C-299581848108}"/>
                </c:ext>
              </c:extLst>
            </c:dLbl>
            <c:dLbl>
              <c:idx val="3"/>
              <c:layout>
                <c:manualLayout>
                  <c:x val="0.1079447775008438"/>
                  <c:y val="-0.184120268922174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4B-4F47-9F9C-29958184810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environnement!$I$3:$L$3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environnement!$I$4:$L$4</c:f>
              <c:numCache>
                <c:formatCode>0.00%</c:formatCode>
                <c:ptCount val="4"/>
                <c:pt idx="0" formatCode="General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4B-4F47-9F9C-29958184810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La formation a-t-elle répondu à vos attentes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4E-0244-9C4A-6B036BBF197C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4E-0244-9C4A-6B036BBF197C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4E-0244-9C4A-6B036BBF197C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4E-0244-9C4A-6B036BBF197C}"/>
              </c:ext>
            </c:extLst>
          </c:dPt>
          <c:dLbls>
            <c:dLbl>
              <c:idx val="0"/>
              <c:layout>
                <c:manualLayout>
                  <c:x val="-4.8085626895270107E-2"/>
                  <c:y val="1.17630005469332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4E-0244-9C4A-6B036BBF197C}"/>
                </c:ext>
              </c:extLst>
            </c:dLbl>
            <c:dLbl>
              <c:idx val="1"/>
              <c:layout>
                <c:manualLayout>
                  <c:x val="0.11274258400764026"/>
                  <c:y val="2.3512339341262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4E-0244-9C4A-6B036BBF197C}"/>
                </c:ext>
              </c:extLst>
            </c:dLbl>
            <c:dLbl>
              <c:idx val="2"/>
              <c:layout>
                <c:manualLayout>
                  <c:x val="-1.8334284116872331E-2"/>
                  <c:y val="-0.243513528311123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1174368644655"/>
                      <c:h val="0.118665454313057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14E-0244-9C4A-6B036BBF197C}"/>
                </c:ext>
              </c:extLst>
            </c:dLbl>
            <c:dLbl>
              <c:idx val="3"/>
              <c:layout>
                <c:manualLayout>
                  <c:x val="0.16633758117506806"/>
                  <c:y val="7.7246297580151543E-2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71181541098044E-2"/>
                      <c:h val="0.119526116073074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14E-0244-9C4A-6B036BBF197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environnement!$I$24:$L$24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environnement!$I$25:$L$25</c:f>
              <c:numCache>
                <c:formatCode>0.00%</c:formatCode>
                <c:ptCount val="4"/>
                <c:pt idx="0" formatCode="General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4E-0244-9C4A-6B036BBF19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Êtes-vous satisfait.e de la formation ?</a:t>
            </a:r>
            <a:endParaRPr lang="fr-FR" sz="1800" b="1">
              <a:effectLst/>
            </a:endParaRPr>
          </a:p>
          <a:p>
            <a:pPr>
              <a:defRPr b="1"/>
            </a:pPr>
            <a:endParaRPr lang="fr-FR" b="1"/>
          </a:p>
        </c:rich>
      </c:tx>
      <c:layout>
        <c:manualLayout>
          <c:xMode val="edge"/>
          <c:yMode val="edge"/>
          <c:x val="0.20501068282068488"/>
          <c:y val="1.51937714310439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167-254A-827F-E6217CC47905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167-254A-827F-E6217CC47905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167-254A-827F-E6217CC47905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167-254A-827F-E6217CC47905}"/>
              </c:ext>
            </c:extLst>
          </c:dPt>
          <c:dLbls>
            <c:dLbl>
              <c:idx val="0"/>
              <c:layout>
                <c:manualLayout>
                  <c:x val="-1.552619383752625E-2"/>
                  <c:y val="-1.510707503325125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67-254A-827F-E6217CC47905}"/>
                </c:ext>
              </c:extLst>
            </c:dLbl>
            <c:dLbl>
              <c:idx val="1"/>
              <c:layout>
                <c:manualLayout>
                  <c:x val="0.14740111777072643"/>
                  <c:y val="1.78537183125144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67-254A-827F-E6217CC47905}"/>
                </c:ext>
              </c:extLst>
            </c:dLbl>
            <c:dLbl>
              <c:idx val="2"/>
              <c:layout>
                <c:manualLayout>
                  <c:x val="-2.9142672464449484E-2"/>
                  <c:y val="-0.224461487455022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67-254A-827F-E6217CC47905}"/>
                </c:ext>
              </c:extLst>
            </c:dLbl>
            <c:dLbl>
              <c:idx val="3"/>
              <c:layout>
                <c:manualLayout>
                  <c:x val="3.6583813217377584E-3"/>
                  <c:y val="-0.166734722235765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527013880727594"/>
                      <c:h val="9.3406370163788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167-254A-827F-E6217CC4790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environnement!$I$50:$L$50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environnement!$I$51:$L$51</c:f>
              <c:numCache>
                <c:formatCode>0.00%</c:formatCode>
                <c:ptCount val="4"/>
                <c:pt idx="0" formatCode="General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67-254A-827F-E6217CC4790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/>
              <a:t>La</a:t>
            </a:r>
            <a:r>
              <a:rPr lang="fr-FR" sz="1800" b="1" baseline="0"/>
              <a:t> formation a-t-elle répondu à vos attentes ?</a:t>
            </a:r>
            <a:endParaRPr lang="fr-FR" sz="1800" b="1"/>
          </a:p>
        </c:rich>
      </c:tx>
      <c:layout>
        <c:manualLayout>
          <c:xMode val="edge"/>
          <c:yMode val="edge"/>
          <c:x val="0.1836854670783370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0F5-4743-A776-34300226A5B0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0F5-4743-A776-34300226A5B0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0F5-4743-A776-34300226A5B0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0F5-4743-A776-34300226A5B0}"/>
              </c:ext>
            </c:extLst>
          </c:dPt>
          <c:dLbls>
            <c:dLbl>
              <c:idx val="1"/>
              <c:layout>
                <c:manualLayout>
                  <c:x val="-2.3915959521043438E-2"/>
                  <c:y val="0.145253285727783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F5-4743-A776-34300226A5B0}"/>
                </c:ext>
              </c:extLst>
            </c:dLbl>
            <c:dLbl>
              <c:idx val="2"/>
              <c:layout>
                <c:manualLayout>
                  <c:x val="6.6103177397350707E-2"/>
                  <c:y val="-0.205234456671850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F5-4743-A776-34300226A5B0}"/>
                </c:ext>
              </c:extLst>
            </c:dLbl>
            <c:dLbl>
              <c:idx val="3"/>
              <c:layout>
                <c:manualLayout>
                  <c:x val="0.14165606793233426"/>
                  <c:y val="-3.15768012451703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F5-4743-A776-34300226A5B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'pratiques religieuses'!$I$26:$L$26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'pratiques religieuses'!$I$27:$L$27</c:f>
              <c:numCache>
                <c:formatCode>0.00%</c:formatCode>
                <c:ptCount val="4"/>
                <c:pt idx="0" formatCode="General">
                  <c:v>0</c:v>
                </c:pt>
                <c:pt idx="1">
                  <c:v>5.9259259259259262E-2</c:v>
                </c:pt>
                <c:pt idx="2">
                  <c:v>0.94074074074074077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F5-4743-A776-34300226A5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u="none" strike="noStrike" baseline="0">
                <a:effectLst/>
              </a:rPr>
              <a:t>Cette formation vous a-t-elle apporté des éléments utiles pour votre travail au quotidien ?</a:t>
            </a:r>
            <a:r>
              <a:rPr lang="fr-FR" sz="1400" b="1" i="0" baseline="0">
                <a:effectLst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77-2F4D-A58C-0911B988B721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77-2F4D-A58C-0911B988B721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77-2F4D-A58C-0911B988B721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977-2F4D-A58C-0911B988B721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environnement!$I$82:$L$82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environnement!$I$83:$L$83</c:f>
              <c:numCache>
                <c:formatCode>0.00%</c:formatCode>
                <c:ptCount val="4"/>
                <c:pt idx="0" formatCode="General">
                  <c:v>0</c:v>
                </c:pt>
                <c:pt idx="1">
                  <c:v>0.2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977-2F4D-A58C-0911B988B72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/>
              <a:t>Les objectifs du programme ont-ils été atteints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10-8244-9A7C-3B6197A41C06}"/>
              </c:ext>
            </c:extLst>
          </c:dPt>
          <c:dPt>
            <c:idx val="1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10-8244-9A7C-3B6197A41C06}"/>
              </c:ext>
            </c:extLst>
          </c:dPt>
          <c:dPt>
            <c:idx val="2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D10-8244-9A7C-3B6197A41C06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D10-8244-9A7C-3B6197A41C06}"/>
              </c:ext>
            </c:extLst>
          </c:dPt>
          <c:dLbls>
            <c:dLbl>
              <c:idx val="0"/>
              <c:layout>
                <c:manualLayout>
                  <c:x val="-2.372178552510245E-2"/>
                  <c:y val="8.845635361618848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10-8244-9A7C-3B6197A41C06}"/>
                </c:ext>
              </c:extLst>
            </c:dLbl>
            <c:dLbl>
              <c:idx val="1"/>
              <c:layout>
                <c:manualLayout>
                  <c:x val="6.3498928705175914E-2"/>
                  <c:y val="2.96050125401321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10-8244-9A7C-3B6197A41C06}"/>
                </c:ext>
              </c:extLst>
            </c:dLbl>
            <c:dLbl>
              <c:idx val="2"/>
              <c:layout>
                <c:manualLayout>
                  <c:x val="4.2138003648503959E-2"/>
                  <c:y val="-0.2122450601106050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727404627229718"/>
                      <c:h val="0.11775719498644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D10-8244-9A7C-3B6197A41C06}"/>
                </c:ext>
              </c:extLst>
            </c:dLbl>
            <c:dLbl>
              <c:idx val="3"/>
              <c:layout>
                <c:manualLayout>
                  <c:x val="0.16006894350070908"/>
                  <c:y val="-2.19727038812818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10-8244-9A7C-3B6197A41C0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'différents âge vie'!$J$3:$M$3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'différents âge vie'!$J$4:$M$4</c:f>
              <c:numCache>
                <c:formatCode>0%</c:formatCode>
                <c:ptCount val="4"/>
                <c:pt idx="0">
                  <c:v>2.0408163265306121E-2</c:v>
                </c:pt>
                <c:pt idx="1">
                  <c:v>0</c:v>
                </c:pt>
                <c:pt idx="2" formatCode="0.00%">
                  <c:v>0.97959183673469385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10-8244-9A7C-3B6197A41C0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/>
              <a:t>La</a:t>
            </a:r>
            <a:r>
              <a:rPr lang="fr-FR" sz="1800" b="1" baseline="0"/>
              <a:t> formation a-t-elle répondu à vos attentes ?</a:t>
            </a:r>
            <a:endParaRPr lang="fr-FR" sz="1800" b="1"/>
          </a:p>
        </c:rich>
      </c:tx>
      <c:layout>
        <c:manualLayout>
          <c:xMode val="edge"/>
          <c:yMode val="edge"/>
          <c:x val="0.17199514530679211"/>
          <c:y val="1.7580819280021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03-414D-B551-45CF70CC272E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03-414D-B551-45CF70CC272E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03-414D-B551-45CF70CC272E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C03-414D-B551-45CF70CC272E}"/>
              </c:ext>
            </c:extLst>
          </c:dPt>
          <c:dLbls>
            <c:dLbl>
              <c:idx val="0"/>
              <c:layout>
                <c:manualLayout>
                  <c:x val="-9.2536822878543187E-2"/>
                  <c:y val="3.1644693663214719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2C03-414D-B551-45CF70CC272E}"/>
                </c:ext>
              </c:extLst>
            </c:dLbl>
            <c:dLbl>
              <c:idx val="1"/>
              <c:layout>
                <c:manualLayout>
                  <c:x val="-1.7553011451483729E-2"/>
                  <c:y val="6.8943248411417026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358241532245653"/>
                      <c:h val="8.9364088846354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C03-414D-B551-45CF70CC272E}"/>
                </c:ext>
              </c:extLst>
            </c:dLbl>
            <c:dLbl>
              <c:idx val="2"/>
              <c:layout>
                <c:manualLayout>
                  <c:x val="7.4836068449397525E-2"/>
                  <c:y val="-0.2271980833380621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84969373848802"/>
                      <c:h val="0.131373675204850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C03-414D-B551-45CF70CC272E}"/>
                </c:ext>
              </c:extLst>
            </c:dLbl>
            <c:dLbl>
              <c:idx val="3"/>
              <c:layout>
                <c:manualLayout>
                  <c:x val="0.17779991268253731"/>
                  <c:y val="8.423889730318770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039025956746546"/>
                      <c:h val="0.116832584174816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C03-414D-B551-45CF70CC272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'différents âge vie'!$J$24:$M$24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'différents âge vie'!$J$25:$M$25</c:f>
              <c:numCache>
                <c:formatCode>0.00%</c:formatCode>
                <c:ptCount val="4"/>
                <c:pt idx="0" formatCode="General">
                  <c:v>2.0408163265306121E-2</c:v>
                </c:pt>
                <c:pt idx="1">
                  <c:v>2.0408163265306121E-2</c:v>
                </c:pt>
                <c:pt idx="2">
                  <c:v>0.95918367346938771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03-414D-B551-45CF70CC272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baseline="0">
                <a:effectLst/>
              </a:rPr>
              <a:t>Cette formation vous a-t-elle apporté des éléments utiles pour votre travail au quotidien ? </a:t>
            </a:r>
            <a:endParaRPr lang="fr-FR" sz="1400">
              <a:effectLst/>
            </a:endParaRPr>
          </a:p>
        </c:rich>
      </c:tx>
      <c:layout>
        <c:manualLayout>
          <c:xMode val="edge"/>
          <c:yMode val="edge"/>
          <c:x val="0.10331825869892533"/>
          <c:y val="3.408081231481975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54-C544-B43B-82E0D9128628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03-5F4B-BC5B-3AABB126AB71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03-5F4B-BC5B-3AABB126AB71}"/>
              </c:ext>
            </c:extLst>
          </c:dPt>
          <c:dLbls>
            <c:dLbl>
              <c:idx val="0"/>
              <c:layout>
                <c:manualLayout>
                  <c:x val="-1.7440546276360974E-2"/>
                  <c:y val="-8.4973591278364111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FE12A5-C67A-C14A-A4A4-0F8E81D704EC}" type="CATEGORYNAME">
                      <a:rPr lang="en-US"/>
                      <a:pPr>
                        <a:defRPr/>
                      </a:pPr>
                      <a:t>[NOM DE CATÉGORIE]</a:t>
                    </a:fld>
                    <a:endParaRPr lang="en-US" baseline="0"/>
                  </a:p>
                  <a:p>
                    <a:pPr>
                      <a:defRPr/>
                    </a:pPr>
                    <a:fld id="{896F832B-4249-7746-805E-FE48D3E6EA88}" type="PERCENTAGE">
                      <a:rPr lang="en-US" baseline="0"/>
                      <a:pPr>
                        <a:defRPr/>
                      </a:pPr>
                      <a:t>[POURCENTAGE]</a:t>
                    </a:fld>
                    <a:endParaRPr lang="fr-FR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854-C544-B43B-82E0D9128628}"/>
                </c:ext>
              </c:extLst>
            </c:dLbl>
            <c:dLbl>
              <c:idx val="1"/>
              <c:layout>
                <c:manualLayout>
                  <c:x val="-7.7405950824251266E-2"/>
                  <c:y val="0.13763246178530178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7BB81BC-2115-CF4A-9A17-20C2BDF295FB}" type="CATEGORYNAME">
                      <a:rPr lang="en-US"/>
                      <a:pPr>
                        <a:defRPr/>
                      </a:pPr>
                      <a:t>[NOM DE CATÉGORIE]</a:t>
                    </a:fld>
                    <a:endParaRPr lang="en-US" baseline="0"/>
                  </a:p>
                  <a:p>
                    <a:pPr>
                      <a:defRPr/>
                    </a:pPr>
                    <a:r>
                      <a:rPr lang="en-US" baseline="0"/>
                      <a:t> </a:t>
                    </a:r>
                    <a:fld id="{79A938DE-2E44-064E-9DAD-E13F62A66C97}" type="PERCENTAGE">
                      <a:rPr lang="en-US" baseline="0"/>
                      <a:pPr>
                        <a:defRPr/>
                      </a:pPr>
                      <a:t>[POURCENTAGE]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F503-5F4B-BC5B-3AABB126AB71}"/>
                </c:ext>
              </c:extLst>
            </c:dLbl>
            <c:dLbl>
              <c:idx val="2"/>
              <c:layout>
                <c:manualLayout>
                  <c:x val="0.11497681710933563"/>
                  <c:y val="-0.2028092975029654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8F4FBCA-75A3-C64C-889C-353B72DDAE13}" type="CATEGORYNAME">
                      <a:rPr lang="en-US"/>
                      <a:pPr>
                        <a:defRPr/>
                      </a:pPr>
                      <a:t>[NOM DE CATÉGORIE]</a:t>
                    </a:fld>
                    <a:r>
                      <a:rPr lang="en-US" baseline="0"/>
                      <a:t> </a:t>
                    </a:r>
                    <a:fld id="{CC14174D-271E-6148-8C78-59AA5269B92F}" type="PERCENTAGE">
                      <a:rPr lang="en-US" baseline="0"/>
                      <a:pPr>
                        <a:defRPr/>
                      </a:pPr>
                      <a:t>[POURCENTAGE]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79593127368108"/>
                      <c:h val="0.1115935717253695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503-5F4B-BC5B-3AABB126AB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'différents âge vie'!$J$82:$L$82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'différents âge vie'!$J$83:$L$83</c:f>
              <c:numCache>
                <c:formatCode>0.00%</c:formatCode>
                <c:ptCount val="3"/>
                <c:pt idx="0" formatCode="0%">
                  <c:v>2.0408163265306121E-2</c:v>
                </c:pt>
                <c:pt idx="1">
                  <c:v>8.1632653061224483E-2</c:v>
                </c:pt>
                <c:pt idx="2">
                  <c:v>0.89795918367346939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3-5F4B-BC5B-3AABB126A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baseline="0">
                <a:effectLst/>
              </a:rPr>
              <a:t>Êtes-vous satisfait.e de la formation ?</a:t>
            </a:r>
            <a:endParaRPr lang="fr-FR" sz="1400">
              <a:effectLst/>
            </a:endParaRPr>
          </a:p>
        </c:rich>
      </c:tx>
      <c:layout>
        <c:manualLayout>
          <c:xMode val="edge"/>
          <c:yMode val="edge"/>
          <c:x val="0.29787192299340137"/>
          <c:y val="9.6667280200332314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dLbls>
            <c:dLbl>
              <c:idx val="0"/>
              <c:layout>
                <c:manualLayout>
                  <c:x val="-0.1110015364064869"/>
                  <c:y val="1.25814450433564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0CD-5E4C-B681-18BCE8282B2B}"/>
                </c:ext>
              </c:extLst>
            </c:dLbl>
            <c:dLbl>
              <c:idx val="2"/>
              <c:layout>
                <c:manualLayout>
                  <c:x val="3.4032561506231629E-2"/>
                  <c:y val="-0.227205152368809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0CD-5E4C-B681-18BCE8282B2B}"/>
                </c:ext>
              </c:extLst>
            </c:dLbl>
            <c:dLbl>
              <c:idx val="3"/>
              <c:layout>
                <c:manualLayout>
                  <c:x val="0.1297024530050333"/>
                  <c:y val="-0.12829999184419105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E7E6E6">
                      <a:lumMod val="7500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7.9313883161364243E-2"/>
                      <c:h val="0.111644893613508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50CD-5E4C-B681-18BCE8282B2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E7E6E6">
                    <a:lumMod val="75000"/>
                  </a:srgb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'différents âge vie'!$J$50:$M$50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'différents âge vie'!$J$51:$M$51</c:f>
              <c:numCache>
                <c:formatCode>0.00%</c:formatCode>
                <c:ptCount val="4"/>
                <c:pt idx="0" formatCode="0%">
                  <c:v>0</c:v>
                </c:pt>
                <c:pt idx="1">
                  <c:v>2.0408163265306121E-2</c:v>
                </c:pt>
                <c:pt idx="2">
                  <c:v>0.97959183673469385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0CD-5E4C-B681-18BCE8282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/>
              <a:t>Les objectifs du programme ont-ils été atteints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76-014D-924A-053E3C9884AD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76-014D-924A-053E3C9884AD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76-014D-924A-053E3C9884AD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D76-014D-924A-053E3C9884AD}"/>
              </c:ext>
            </c:extLst>
          </c:dPt>
          <c:dLbls>
            <c:dLbl>
              <c:idx val="1"/>
              <c:layout>
                <c:manualLayout>
                  <c:x val="0.10535974598864453"/>
                  <c:y val="1.67433994083924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76-014D-924A-053E3C9884AD}"/>
                </c:ext>
              </c:extLst>
            </c:dLbl>
            <c:dLbl>
              <c:idx val="2"/>
              <c:layout>
                <c:manualLayout>
                  <c:x val="-1.0408798237688345E-2"/>
                  <c:y val="-0.232061012908333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41298190768749"/>
                      <c:h val="0.108939325854582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D76-014D-924A-053E3C9884AD}"/>
                </c:ext>
              </c:extLst>
            </c:dLbl>
            <c:dLbl>
              <c:idx val="3"/>
              <c:layout>
                <c:manualLayout>
                  <c:x val="3.4336508193830713E-3"/>
                  <c:y val="-0.242845620541477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76-014D-924A-053E3C9884A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maladie!$J$4:$M$4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maladie!$J$5:$M$5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 formatCode="0.0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D76-014D-924A-053E3C9884A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/>
              <a:t>La</a:t>
            </a:r>
            <a:r>
              <a:rPr lang="fr-FR" sz="1800" b="1" baseline="0"/>
              <a:t> formation a-t-elle répondu à vos attentes ?</a:t>
            </a:r>
            <a:endParaRPr lang="fr-FR" sz="1800" b="1"/>
          </a:p>
        </c:rich>
      </c:tx>
      <c:layout>
        <c:manualLayout>
          <c:xMode val="edge"/>
          <c:yMode val="edge"/>
          <c:x val="0.17199514530679211"/>
          <c:y val="1.7580819280021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CD-774F-9A87-1F607198EB1B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0CD-774F-9A87-1F607198EB1B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0CD-774F-9A87-1F607198EB1B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0CD-774F-9A87-1F607198EB1B}"/>
              </c:ext>
            </c:extLst>
          </c:dPt>
          <c:dLbls>
            <c:dLbl>
              <c:idx val="0"/>
              <c:layout>
                <c:manualLayout>
                  <c:x val="-6.7639111441733638E-2"/>
                  <c:y val="1.46209972717449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0CD-774F-9A87-1F607198EB1B}"/>
                </c:ext>
              </c:extLst>
            </c:dLbl>
            <c:dLbl>
              <c:idx val="1"/>
              <c:layout>
                <c:manualLayout>
                  <c:x val="8.7748036464951745E-2"/>
                  <c:y val="1.46209972717449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0CD-774F-9A87-1F607198EB1B}"/>
                </c:ext>
              </c:extLst>
            </c:dLbl>
            <c:dLbl>
              <c:idx val="2"/>
              <c:layout>
                <c:manualLayout>
                  <c:x val="-3.1265896438982491E-2"/>
                  <c:y val="-0.23817853503646319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6515522099144272"/>
                      <c:h val="0.104909228440003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0CD-774F-9A87-1F607198EB1B}"/>
                </c:ext>
              </c:extLst>
            </c:dLbl>
            <c:dLbl>
              <c:idx val="3"/>
              <c:layout>
                <c:manualLayout>
                  <c:x val="0.14076247516252677"/>
                  <c:y val="-0.1739898675337647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9.9583945333664214E-2"/>
                      <c:h val="0.101404329519056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0CD-774F-9A87-1F607198EB1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maladie!$J$25:$M$25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maladie!$J$26:$M$26</c:f>
              <c:numCache>
                <c:formatCode>0.00%</c:formatCode>
                <c:ptCount val="4"/>
                <c:pt idx="0" formatCode="General">
                  <c:v>0</c:v>
                </c:pt>
                <c:pt idx="1">
                  <c:v>3.5714285714285712E-2</c:v>
                </c:pt>
                <c:pt idx="2">
                  <c:v>0.9642857142857143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CD-774F-9A87-1F607198EB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baseline="0">
                <a:effectLst/>
              </a:rPr>
              <a:t>Cette formation vous a-t-elle apporté des éléments utiles pour votre travail au quotidien ? </a:t>
            </a:r>
            <a:endParaRPr lang="fr-FR" sz="1400">
              <a:effectLst/>
            </a:endParaRPr>
          </a:p>
        </c:rich>
      </c:tx>
      <c:layout>
        <c:manualLayout>
          <c:xMode val="edge"/>
          <c:yMode val="edge"/>
          <c:x val="0.10331825869892533"/>
          <c:y val="3.408081231481975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AD-0C49-BC1A-311C66EA77E8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AD-0C49-BC1A-311C66EA77E8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AD-0C49-BC1A-311C66EA77E8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7AD-0C49-BC1A-311C66EA77E8}"/>
              </c:ext>
            </c:extLst>
          </c:dPt>
          <c:dLbls>
            <c:dLbl>
              <c:idx val="0"/>
              <c:layout>
                <c:manualLayout>
                  <c:x val="-7.3711405707008903E-2"/>
                  <c:y val="1.12242397621344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AD-0C49-BC1A-311C66EA77E8}"/>
                </c:ext>
              </c:extLst>
            </c:dLbl>
            <c:dLbl>
              <c:idx val="1"/>
              <c:layout>
                <c:manualLayout>
                  <c:x val="0"/>
                  <c:y val="1.12242397621344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AD-0C49-BC1A-311C66EA77E8}"/>
                </c:ext>
              </c:extLst>
            </c:dLbl>
            <c:dLbl>
              <c:idx val="2"/>
              <c:layout>
                <c:manualLayout>
                  <c:x val="7.5279733488009093E-2"/>
                  <c:y val="-0.197209671671101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213198972510671"/>
                      <c:h val="0.105725710071258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7AD-0C49-BC1A-311C66EA77E8}"/>
                </c:ext>
              </c:extLst>
            </c:dLbl>
            <c:dLbl>
              <c:idx val="3"/>
              <c:layout>
                <c:manualLayout>
                  <c:x val="0.13017120582301575"/>
                  <c:y val="-9.25999780376097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AD-0C49-BC1A-311C66EA77E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maladie!$J$83:$M$83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maladie!$J$84:$M$84</c:f>
              <c:numCache>
                <c:formatCode>0.00%</c:formatCode>
                <c:ptCount val="4"/>
                <c:pt idx="0" formatCode="0%">
                  <c:v>0</c:v>
                </c:pt>
                <c:pt idx="1">
                  <c:v>3.5714285714285712E-2</c:v>
                </c:pt>
                <c:pt idx="2">
                  <c:v>0.9642857142857143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AD-0C49-BC1A-311C66EA7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baseline="0">
                <a:effectLst/>
              </a:rPr>
              <a:t>Êtes-vous satisfait.e de la formation ?</a:t>
            </a:r>
            <a:endParaRPr lang="fr-FR" sz="1400">
              <a:effectLst/>
            </a:endParaRPr>
          </a:p>
        </c:rich>
      </c:tx>
      <c:layout>
        <c:manualLayout>
          <c:xMode val="edge"/>
          <c:yMode val="edge"/>
          <c:x val="0.29787192299340137"/>
          <c:y val="9.6667280200332314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dLbls>
            <c:dLbl>
              <c:idx val="0"/>
              <c:layout>
                <c:manualLayout>
                  <c:x val="6.7773507651400097E-2"/>
                  <c:y val="1.8627981344333081E-2"/>
                </c:manualLayout>
              </c:layout>
              <c:tx>
                <c:rich>
                  <a:bodyPr/>
                  <a:lstStyle/>
                  <a:p>
                    <a:fld id="{56DA7CCF-14CD-E64A-9C8B-7CF8A2BCD6C8}" type="CATEGORYNAME">
                      <a:rPr lang="en-US"/>
                      <a:pPr/>
                      <a:t>[NOM DE CATÉGORIE]</a:t>
                    </a:fld>
                    <a:endParaRPr lang="en-US" baseline="0"/>
                  </a:p>
                  <a:p>
                    <a:fld id="{909EC0AB-9CF4-2F4E-B4E2-3C9AB42D7ABE}" type="PERCENTAGE">
                      <a:rPr lang="en-US" baseline="0"/>
                      <a:pPr/>
                      <a:t>[POURCENTAGE]</a:t>
                    </a:fld>
                    <a:endParaRPr lang="fr-FR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ACC-084A-BE3E-07B3B06D1DE1}"/>
                </c:ext>
              </c:extLst>
            </c:dLbl>
            <c:dLbl>
              <c:idx val="1"/>
              <c:layout>
                <c:manualLayout>
                  <c:x val="-7.4090180243566658E-2"/>
                  <c:y val="2.4782355548259614E-2"/>
                </c:manualLayout>
              </c:layout>
              <c:tx>
                <c:rich>
                  <a:bodyPr/>
                  <a:lstStyle/>
                  <a:p>
                    <a:fld id="{C5DD83BB-2FB1-A54D-9C9D-0775D57FF8C4}" type="CATEGORYNAME">
                      <a:rPr lang="en-US"/>
                      <a:pPr/>
                      <a:t>[NOM DE CATÉGORIE]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3884BE18-4060-3148-88FE-A0236076B681}" type="PERCENTAGE">
                      <a:rPr lang="en-US" baseline="0"/>
                      <a:pPr/>
                      <a:t>[POURCENTAGE]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ACC-084A-BE3E-07B3B06D1DE1}"/>
                </c:ext>
              </c:extLst>
            </c:dLbl>
            <c:dLbl>
              <c:idx val="2"/>
              <c:layout>
                <c:manualLayout>
                  <c:x val="-1.6480265050681307E-2"/>
                  <c:y val="-0.32049114698638859"/>
                </c:manualLayout>
              </c:layout>
              <c:tx>
                <c:rich>
                  <a:bodyPr/>
                  <a:lstStyle/>
                  <a:p>
                    <a:fld id="{73A009DD-E49C-2340-AF94-93320962D852}" type="CATEGORYNAME">
                      <a:rPr lang="en-US"/>
                      <a:pPr/>
                      <a:t>[NOM DE CATÉGORIE]</a:t>
                    </a:fld>
                    <a:endParaRPr lang="en-US" baseline="0"/>
                  </a:p>
                  <a:p>
                    <a:fld id="{CB7D9912-1C44-334A-A71B-7CFD4779C7F6}" type="PERCENTAGE">
                      <a:rPr lang="en-US" baseline="0"/>
                      <a:pPr/>
                      <a:t>[POURCENTAGE]</a:t>
                    </a:fld>
                    <a:endParaRPr lang="fr-FR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ACC-084A-BE3E-07B3B06D1DE1}"/>
                </c:ext>
              </c:extLst>
            </c:dLbl>
            <c:dLbl>
              <c:idx val="3"/>
              <c:layout>
                <c:manualLayout>
                  <c:x val="-2.0066090482632623E-2"/>
                  <c:y val="-0.23233458326493386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50923BA9-F16D-B847-9920-61C8C7AD70D8}" type="CATEGORYNAME">
                      <a:rPr lang="en-US"/>
                      <a:pPr>
                        <a:defRPr/>
                      </a:pPr>
                      <a:t>[NOM DE CATÉGORIE]</a:t>
                    </a:fld>
                    <a:endParaRPr lang="en-US" baseline="0"/>
                  </a:p>
                  <a:p>
                    <a:pPr>
                      <a:defRPr/>
                    </a:pPr>
                    <a:fld id="{A185DC4D-F2FD-984A-BD0C-BF5C7E0C4016}" type="PERCENTAGE">
                      <a:rPr lang="en-US" baseline="0"/>
                      <a:pPr>
                        <a:defRPr/>
                      </a:pPr>
                      <a:t>[POURCENTAGE]</a:t>
                    </a:fld>
                    <a:endParaRPr lang="fr-FR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rgbClr val="E7E6E6">
                      <a:lumMod val="75000"/>
                    </a:srgbClr>
                  </a:solidFill>
                </a:ln>
                <a:effectLst/>
              </c:sp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11427790453621262"/>
                      <c:h val="9.712683224174699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ACC-084A-BE3E-07B3B06D1DE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E7E6E6">
                    <a:lumMod val="75000"/>
                  </a:srgbClr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maladie!$J$51:$M$51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maladie!$J$52:$M$52</c:f>
              <c:numCache>
                <c:formatCode>0.00%</c:formatCode>
                <c:ptCount val="4"/>
                <c:pt idx="0" formatCode="0%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CC-084A-BE3E-07B3B06D1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/>
              <a:t>Les objectifs du programme ont-ils été atteints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0D-154E-8416-65F6E6AE98C7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0D-154E-8416-65F6E6AE98C7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0D-154E-8416-65F6E6AE98C7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0D-154E-8416-65F6E6AE98C7}"/>
              </c:ext>
            </c:extLst>
          </c:dPt>
          <c:dLbls>
            <c:dLbl>
              <c:idx val="1"/>
              <c:layout>
                <c:manualLayout>
                  <c:x val="0.10535974598864453"/>
                  <c:y val="1.67433994083924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0D-154E-8416-65F6E6AE98C7}"/>
                </c:ext>
              </c:extLst>
            </c:dLbl>
            <c:dLbl>
              <c:idx val="2"/>
              <c:layout>
                <c:manualLayout>
                  <c:x val="-1.0408798237688345E-2"/>
                  <c:y val="-0.232061012908333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41298190768749"/>
                      <c:h val="0.108939325854582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E0D-154E-8416-65F6E6AE98C7}"/>
                </c:ext>
              </c:extLst>
            </c:dLbl>
            <c:dLbl>
              <c:idx val="3"/>
              <c:layout>
                <c:manualLayout>
                  <c:x val="3.4336508193830713E-3"/>
                  <c:y val="-0.242845620541477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D-154E-8416-65F6E6AE98C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plurilinguisme!$J$4:$M$4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plurilinguisme!$J$5:$M$5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 formatCode="0.0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0D-154E-8416-65F6E6AE98C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Êtes-vous satisfait.e de la formation ?</a:t>
            </a:r>
            <a:endParaRPr lang="fr-FR" sz="1800" b="1">
              <a:effectLst/>
            </a:endParaRPr>
          </a:p>
          <a:p>
            <a:pPr>
              <a:defRPr b="1"/>
            </a:pP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3A-B041-BD15-3AA59ABA71F7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03A-B041-BD15-3AA59ABA71F7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03A-B041-BD15-3AA59ABA71F7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03A-B041-BD15-3AA59ABA71F7}"/>
              </c:ext>
            </c:extLst>
          </c:dPt>
          <c:dLbls>
            <c:dLbl>
              <c:idx val="0"/>
              <c:layout>
                <c:manualLayout>
                  <c:x val="-2.0205925427407029E-2"/>
                  <c:y val="-1.5492266776833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3A-B041-BD15-3AA59ABA71F7}"/>
                </c:ext>
              </c:extLst>
            </c:dLbl>
            <c:dLbl>
              <c:idx val="1"/>
              <c:layout>
                <c:manualLayout>
                  <c:x val="0.13752369759755528"/>
                  <c:y val="2.440956839709785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1921108354433607"/>
                      <c:h val="0.105535391505874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03A-B041-BD15-3AA59ABA71F7}"/>
                </c:ext>
              </c:extLst>
            </c:dLbl>
            <c:dLbl>
              <c:idx val="2"/>
              <c:layout>
                <c:manualLayout>
                  <c:x val="-3.6459524110680742E-2"/>
                  <c:y val="-0.20269049033024358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73987496191501"/>
                      <c:h val="0.132662801461315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03A-B041-BD15-3AA59ABA71F7}"/>
                </c:ext>
              </c:extLst>
            </c:dLbl>
            <c:dLbl>
              <c:idx val="3"/>
              <c:layout>
                <c:manualLayout>
                  <c:x val="0.13752377721989062"/>
                  <c:y val="-0.25290093720215379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3967108906584566"/>
                      <c:h val="0.131827767352890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03A-B041-BD15-3AA59ABA71F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'pratiques religieuses'!$I$53:$L$53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'pratiques religieuses'!$I$54:$L$54</c:f>
              <c:numCache>
                <c:formatCode>0.00%</c:formatCode>
                <c:ptCount val="4"/>
                <c:pt idx="0" formatCode="General">
                  <c:v>0</c:v>
                </c:pt>
                <c:pt idx="1">
                  <c:v>7.4074074074074077E-3</c:v>
                </c:pt>
                <c:pt idx="2">
                  <c:v>0.99259259259259258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3A-B041-BD15-3AA59ABA71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/>
              <a:t>La</a:t>
            </a:r>
            <a:r>
              <a:rPr lang="fr-FR" sz="1800" b="1" baseline="0"/>
              <a:t> formation a-t-elle répondu à vos attentes ?</a:t>
            </a:r>
            <a:endParaRPr lang="fr-FR" sz="1800" b="1"/>
          </a:p>
        </c:rich>
      </c:tx>
      <c:layout>
        <c:manualLayout>
          <c:xMode val="edge"/>
          <c:yMode val="edge"/>
          <c:x val="0.17199514530679211"/>
          <c:y val="1.7580819280021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46-764B-A0DF-9A2504B1AADE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46-764B-A0DF-9A2504B1AADE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46-764B-A0DF-9A2504B1AADE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E46-764B-A0DF-9A2504B1AADE}"/>
              </c:ext>
            </c:extLst>
          </c:dPt>
          <c:dLbls>
            <c:dLbl>
              <c:idx val="0"/>
              <c:layout>
                <c:manualLayout>
                  <c:x val="-6.7639111441733638E-2"/>
                  <c:y val="1.46209972717449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E46-764B-A0DF-9A2504B1AADE}"/>
                </c:ext>
              </c:extLst>
            </c:dLbl>
            <c:dLbl>
              <c:idx val="1"/>
              <c:layout>
                <c:manualLayout>
                  <c:x val="8.7748036464951745E-2"/>
                  <c:y val="1.46209972717449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E46-764B-A0DF-9A2504B1AADE}"/>
                </c:ext>
              </c:extLst>
            </c:dLbl>
            <c:dLbl>
              <c:idx val="2"/>
              <c:layout>
                <c:manualLayout>
                  <c:x val="-3.1265896438982491E-2"/>
                  <c:y val="-0.23817853503646319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6515522099144272"/>
                      <c:h val="0.104909228440003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E46-764B-A0DF-9A2504B1AADE}"/>
                </c:ext>
              </c:extLst>
            </c:dLbl>
            <c:dLbl>
              <c:idx val="3"/>
              <c:layout>
                <c:manualLayout>
                  <c:x val="0.14076247516252677"/>
                  <c:y val="-0.1739898675337647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9.9583945333664214E-2"/>
                      <c:h val="0.101404329519056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E46-764B-A0DF-9A2504B1AAD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plurilinguisme!$J$25:$M$25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plurilinguisme!$J$26:$M$26</c:f>
              <c:numCache>
                <c:formatCode>0.00%</c:formatCode>
                <c:ptCount val="4"/>
                <c:pt idx="0" formatCode="General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46-764B-A0DF-9A2504B1AAD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baseline="0">
                <a:effectLst/>
              </a:rPr>
              <a:t>Cette formation vous a-t-elle apporté des éléments utiles pour votre travail au quotidien ? </a:t>
            </a:r>
            <a:endParaRPr lang="fr-FR" sz="1400">
              <a:effectLst/>
            </a:endParaRPr>
          </a:p>
        </c:rich>
      </c:tx>
      <c:layout>
        <c:manualLayout>
          <c:xMode val="edge"/>
          <c:yMode val="edge"/>
          <c:x val="0.10331825869892533"/>
          <c:y val="3.408081231481975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B8-0140-815B-C2A03D0E0D39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B8-0140-815B-C2A03D0E0D39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B8-0140-815B-C2A03D0E0D39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8B8-0140-815B-C2A03D0E0D39}"/>
              </c:ext>
            </c:extLst>
          </c:dPt>
          <c:dLbls>
            <c:dLbl>
              <c:idx val="0"/>
              <c:layout>
                <c:manualLayout>
                  <c:x val="-7.3711405707008903E-2"/>
                  <c:y val="1.12242397621344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8-0140-815B-C2A03D0E0D39}"/>
                </c:ext>
              </c:extLst>
            </c:dLbl>
            <c:dLbl>
              <c:idx val="1"/>
              <c:layout>
                <c:manualLayout>
                  <c:x val="0"/>
                  <c:y val="1.12242397621344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8-0140-815B-C2A03D0E0D39}"/>
                </c:ext>
              </c:extLst>
            </c:dLbl>
            <c:dLbl>
              <c:idx val="2"/>
              <c:layout>
                <c:manualLayout>
                  <c:x val="7.5279733488009093E-2"/>
                  <c:y val="-0.197209671671101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213198972510671"/>
                      <c:h val="0.105725710071258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8B8-0140-815B-C2A03D0E0D39}"/>
                </c:ext>
              </c:extLst>
            </c:dLbl>
            <c:dLbl>
              <c:idx val="3"/>
              <c:layout>
                <c:manualLayout>
                  <c:x val="0.13017120582301575"/>
                  <c:y val="-9.25999780376097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B8-0140-815B-C2A03D0E0D3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plurilinguisme!$J$83:$M$83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plurilinguisme!$J$84:$M$84</c:f>
              <c:numCache>
                <c:formatCode>0.00%</c:formatCode>
                <c:ptCount val="4"/>
                <c:pt idx="0" formatCode="0%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8B8-0140-815B-C2A03D0E0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baseline="0">
                <a:effectLst/>
              </a:rPr>
              <a:t>Êtes-vous satisfait.e de la formation ?</a:t>
            </a:r>
            <a:endParaRPr lang="fr-FR" sz="1400">
              <a:effectLst/>
            </a:endParaRPr>
          </a:p>
        </c:rich>
      </c:tx>
      <c:layout>
        <c:manualLayout>
          <c:xMode val="edge"/>
          <c:yMode val="edge"/>
          <c:x val="0.29787192299340137"/>
          <c:y val="9.6667280200332314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dLbls>
            <c:dLbl>
              <c:idx val="0"/>
              <c:layout>
                <c:manualLayout>
                  <c:x val="6.7773507651400097E-2"/>
                  <c:y val="1.8627981344333081E-2"/>
                </c:manualLayout>
              </c:layout>
              <c:tx>
                <c:rich>
                  <a:bodyPr/>
                  <a:lstStyle/>
                  <a:p>
                    <a:fld id="{56DA7CCF-14CD-E64A-9C8B-7CF8A2BCD6C8}" type="CATEGORYNAME">
                      <a:rPr lang="en-US"/>
                      <a:pPr/>
                      <a:t>[NOM DE CATÉGORIE]</a:t>
                    </a:fld>
                    <a:endParaRPr lang="en-US" baseline="0"/>
                  </a:p>
                  <a:p>
                    <a:fld id="{909EC0AB-9CF4-2F4E-B4E2-3C9AB42D7ABE}" type="PERCENTAGE">
                      <a:rPr lang="en-US" baseline="0"/>
                      <a:pPr/>
                      <a:t>[POURCENTAGE]</a:t>
                    </a:fld>
                    <a:endParaRPr lang="fr-FR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7C0-284A-825F-B27E8021FB81}"/>
                </c:ext>
              </c:extLst>
            </c:dLbl>
            <c:dLbl>
              <c:idx val="1"/>
              <c:layout>
                <c:manualLayout>
                  <c:x val="-7.4090180243566658E-2"/>
                  <c:y val="2.4782355548259614E-2"/>
                </c:manualLayout>
              </c:layout>
              <c:tx>
                <c:rich>
                  <a:bodyPr/>
                  <a:lstStyle/>
                  <a:p>
                    <a:fld id="{C5DD83BB-2FB1-A54D-9C9D-0775D57FF8C4}" type="CATEGORYNAME">
                      <a:rPr lang="en-US"/>
                      <a:pPr/>
                      <a:t>[NOM DE CATÉGORIE]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3884BE18-4060-3148-88FE-A0236076B681}" type="PERCENTAGE">
                      <a:rPr lang="en-US" baseline="0"/>
                      <a:pPr/>
                      <a:t>[POURCENTAGE]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7C0-284A-825F-B27E8021FB81}"/>
                </c:ext>
              </c:extLst>
            </c:dLbl>
            <c:dLbl>
              <c:idx val="2"/>
              <c:layout>
                <c:manualLayout>
                  <c:x val="-1.6480265050681307E-2"/>
                  <c:y val="-0.32049114698638859"/>
                </c:manualLayout>
              </c:layout>
              <c:tx>
                <c:rich>
                  <a:bodyPr/>
                  <a:lstStyle/>
                  <a:p>
                    <a:fld id="{73A009DD-E49C-2340-AF94-93320962D852}" type="CATEGORYNAME">
                      <a:rPr lang="en-US"/>
                      <a:pPr/>
                      <a:t>[NOM DE CATÉGORIE]</a:t>
                    </a:fld>
                    <a:endParaRPr lang="en-US" baseline="0"/>
                  </a:p>
                  <a:p>
                    <a:fld id="{CB7D9912-1C44-334A-A71B-7CFD4779C7F6}" type="PERCENTAGE">
                      <a:rPr lang="en-US" baseline="0"/>
                      <a:pPr/>
                      <a:t>[POURCENTAGE]</a:t>
                    </a:fld>
                    <a:endParaRPr lang="fr-FR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7C0-284A-825F-B27E8021FB81}"/>
                </c:ext>
              </c:extLst>
            </c:dLbl>
            <c:dLbl>
              <c:idx val="3"/>
              <c:layout>
                <c:manualLayout>
                  <c:x val="-2.0066090482632623E-2"/>
                  <c:y val="-0.23233458326493386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50923BA9-F16D-B847-9920-61C8C7AD70D8}" type="CATEGORYNAME">
                      <a:rPr lang="en-US"/>
                      <a:pPr>
                        <a:defRPr/>
                      </a:pPr>
                      <a:t>[NOM DE CATÉGORIE]</a:t>
                    </a:fld>
                    <a:endParaRPr lang="en-US" baseline="0"/>
                  </a:p>
                  <a:p>
                    <a:pPr>
                      <a:defRPr/>
                    </a:pPr>
                    <a:fld id="{A185DC4D-F2FD-984A-BD0C-BF5C7E0C4016}" type="PERCENTAGE">
                      <a:rPr lang="en-US" baseline="0"/>
                      <a:pPr>
                        <a:defRPr/>
                      </a:pPr>
                      <a:t>[POURCENTAGE]</a:t>
                    </a:fld>
                    <a:endParaRPr lang="fr-FR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rgbClr val="E7E6E6">
                      <a:lumMod val="75000"/>
                    </a:srgbClr>
                  </a:solidFill>
                </a:ln>
                <a:effectLst/>
              </c:sp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11427790453621262"/>
                      <c:h val="9.712683224174699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7C0-284A-825F-B27E8021FB8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E7E6E6">
                    <a:lumMod val="75000"/>
                  </a:srgbClr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plurilinguisme!$J$51:$M$51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plurilinguisme!$J$52:$M$52</c:f>
              <c:numCache>
                <c:formatCode>0.00%</c:formatCode>
                <c:ptCount val="4"/>
                <c:pt idx="0" formatCode="0%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C0-284A-825F-B27E8021F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/>
              <a:t>Les objectifs du programme ont-ils été atteints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6E-5440-882E-697F56615B99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6E-5440-882E-697F56615B99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6E-5440-882E-697F56615B99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86E-5440-882E-697F56615B99}"/>
              </c:ext>
            </c:extLst>
          </c:dPt>
          <c:dLbls>
            <c:dLbl>
              <c:idx val="1"/>
              <c:layout>
                <c:manualLayout>
                  <c:x val="0.10535974598864453"/>
                  <c:y val="1.67433994083924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6E-5440-882E-697F56615B99}"/>
                </c:ext>
              </c:extLst>
            </c:dLbl>
            <c:dLbl>
              <c:idx val="2"/>
              <c:layout>
                <c:manualLayout>
                  <c:x val="-1.0408798237688345E-2"/>
                  <c:y val="-0.232061012908333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41298190768749"/>
                      <c:h val="0.108939325854582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86E-5440-882E-697F56615B99}"/>
                </c:ext>
              </c:extLst>
            </c:dLbl>
            <c:dLbl>
              <c:idx val="3"/>
              <c:layout>
                <c:manualLayout>
                  <c:x val="3.4336508193830713E-3"/>
                  <c:y val="-0.242845620541477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6E-5440-882E-697F56615B9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'discours de haine'!$J$4:$M$4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'discours de haine'!$J$5:$M$5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 formatCode="0.0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86E-5440-882E-697F56615B9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/>
              <a:t>La</a:t>
            </a:r>
            <a:r>
              <a:rPr lang="fr-FR" sz="1800" b="1" baseline="0"/>
              <a:t> formation a-t-elle répondu à vos attentes ?</a:t>
            </a:r>
            <a:endParaRPr lang="fr-FR" sz="1800" b="1"/>
          </a:p>
        </c:rich>
      </c:tx>
      <c:layout>
        <c:manualLayout>
          <c:xMode val="edge"/>
          <c:yMode val="edge"/>
          <c:x val="0.17199514530679211"/>
          <c:y val="1.7580819280021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01D-F543-8F45-4E155CBC860A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01D-F543-8F45-4E155CBC860A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01D-F543-8F45-4E155CBC860A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01D-F543-8F45-4E155CBC860A}"/>
              </c:ext>
            </c:extLst>
          </c:dPt>
          <c:dLbls>
            <c:dLbl>
              <c:idx val="0"/>
              <c:layout>
                <c:manualLayout>
                  <c:x val="-6.7639111441733638E-2"/>
                  <c:y val="1.46209972717449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301D-F543-8F45-4E155CBC860A}"/>
                </c:ext>
              </c:extLst>
            </c:dLbl>
            <c:dLbl>
              <c:idx val="1"/>
              <c:layout>
                <c:manualLayout>
                  <c:x val="8.7748036464951745E-2"/>
                  <c:y val="1.46209972717449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301D-F543-8F45-4E155CBC860A}"/>
                </c:ext>
              </c:extLst>
            </c:dLbl>
            <c:dLbl>
              <c:idx val="2"/>
              <c:layout>
                <c:manualLayout>
                  <c:x val="-3.1265896438982491E-2"/>
                  <c:y val="-0.23817853503646319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6515522099144272"/>
                      <c:h val="0.104909228440003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01D-F543-8F45-4E155CBC860A}"/>
                </c:ext>
              </c:extLst>
            </c:dLbl>
            <c:dLbl>
              <c:idx val="3"/>
              <c:layout>
                <c:manualLayout>
                  <c:x val="0.14076247516252677"/>
                  <c:y val="-0.1739898675337647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9.9583945333664214E-2"/>
                      <c:h val="0.101404329519056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01D-F543-8F45-4E155CBC860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'discours de haine'!$J$25:$M$25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'discours de haine'!$J$26:$M$26</c:f>
              <c:numCache>
                <c:formatCode>0.00%</c:formatCode>
                <c:ptCount val="4"/>
                <c:pt idx="0" formatCode="General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01D-F543-8F45-4E155CBC860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baseline="0">
                <a:effectLst/>
              </a:rPr>
              <a:t>Cette formation vous a-t-elle apporté des éléments utiles pour votre travail au quotidien ? </a:t>
            </a:r>
            <a:endParaRPr lang="fr-FR" sz="1400">
              <a:effectLst/>
            </a:endParaRPr>
          </a:p>
        </c:rich>
      </c:tx>
      <c:layout>
        <c:manualLayout>
          <c:xMode val="edge"/>
          <c:yMode val="edge"/>
          <c:x val="0.10331825869892533"/>
          <c:y val="3.408081231481975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37-4F42-AB73-36887AF88D6C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37-4F42-AB73-36887AF88D6C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37-4F42-AB73-36887AF88D6C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337-4F42-AB73-36887AF88D6C}"/>
              </c:ext>
            </c:extLst>
          </c:dPt>
          <c:dLbls>
            <c:dLbl>
              <c:idx val="0"/>
              <c:layout>
                <c:manualLayout>
                  <c:x val="-7.3711405707008903E-2"/>
                  <c:y val="1.12242397621344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37-4F42-AB73-36887AF88D6C}"/>
                </c:ext>
              </c:extLst>
            </c:dLbl>
            <c:dLbl>
              <c:idx val="1"/>
              <c:layout>
                <c:manualLayout>
                  <c:x val="0"/>
                  <c:y val="1.12242397621344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37-4F42-AB73-36887AF88D6C}"/>
                </c:ext>
              </c:extLst>
            </c:dLbl>
            <c:dLbl>
              <c:idx val="2"/>
              <c:layout>
                <c:manualLayout>
                  <c:x val="7.5279733488009093E-2"/>
                  <c:y val="-0.197209671671101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213198972510671"/>
                      <c:h val="0.105725710071258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337-4F42-AB73-36887AF88D6C}"/>
                </c:ext>
              </c:extLst>
            </c:dLbl>
            <c:dLbl>
              <c:idx val="3"/>
              <c:layout>
                <c:manualLayout>
                  <c:x val="0.13017120582301575"/>
                  <c:y val="-9.25999780376097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37-4F42-AB73-36887AF88D6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'discours de haine'!$J$83:$M$83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'discours de haine'!$J$84:$M$84</c:f>
              <c:numCache>
                <c:formatCode>0.00%</c:formatCode>
                <c:ptCount val="4"/>
                <c:pt idx="0" formatCode="0%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37-4F42-AB73-36887AF88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baseline="0">
                <a:effectLst/>
              </a:rPr>
              <a:t>Êtes-vous satisfait.e de la formation ?</a:t>
            </a:r>
            <a:endParaRPr lang="fr-FR" sz="1400">
              <a:effectLst/>
            </a:endParaRPr>
          </a:p>
        </c:rich>
      </c:tx>
      <c:layout>
        <c:manualLayout>
          <c:xMode val="edge"/>
          <c:yMode val="edge"/>
          <c:x val="0.29787192299340137"/>
          <c:y val="9.6667280200332314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dLbls>
            <c:dLbl>
              <c:idx val="0"/>
              <c:layout>
                <c:manualLayout>
                  <c:x val="6.7773507651400097E-2"/>
                  <c:y val="1.8627981344333081E-2"/>
                </c:manualLayout>
              </c:layout>
              <c:tx>
                <c:rich>
                  <a:bodyPr/>
                  <a:lstStyle/>
                  <a:p>
                    <a:fld id="{56DA7CCF-14CD-E64A-9C8B-7CF8A2BCD6C8}" type="CATEGORYNAME">
                      <a:rPr lang="en-US"/>
                      <a:pPr/>
                      <a:t>[NOM DE CATÉGORIE]</a:t>
                    </a:fld>
                    <a:endParaRPr lang="en-US" baseline="0"/>
                  </a:p>
                  <a:p>
                    <a:fld id="{909EC0AB-9CF4-2F4E-B4E2-3C9AB42D7ABE}" type="PERCENTAGE">
                      <a:rPr lang="en-US" baseline="0"/>
                      <a:pPr/>
                      <a:t>[POURCENTAGE]</a:t>
                    </a:fld>
                    <a:endParaRPr lang="fr-FR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1794-3549-9E75-41ADD5EC9021}"/>
                </c:ext>
              </c:extLst>
            </c:dLbl>
            <c:dLbl>
              <c:idx val="1"/>
              <c:layout>
                <c:manualLayout>
                  <c:x val="-7.4090180243566658E-2"/>
                  <c:y val="2.4782355548259614E-2"/>
                </c:manualLayout>
              </c:layout>
              <c:tx>
                <c:rich>
                  <a:bodyPr/>
                  <a:lstStyle/>
                  <a:p>
                    <a:fld id="{C5DD83BB-2FB1-A54D-9C9D-0775D57FF8C4}" type="CATEGORYNAME">
                      <a:rPr lang="en-US"/>
                      <a:pPr/>
                      <a:t>[NOM DE CATÉGORIE]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3884BE18-4060-3148-88FE-A0236076B681}" type="PERCENTAGE">
                      <a:rPr lang="en-US" baseline="0"/>
                      <a:pPr/>
                      <a:t>[POURCENTAGE]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794-3549-9E75-41ADD5EC9021}"/>
                </c:ext>
              </c:extLst>
            </c:dLbl>
            <c:dLbl>
              <c:idx val="2"/>
              <c:layout>
                <c:manualLayout>
                  <c:x val="-1.6480265050681307E-2"/>
                  <c:y val="-0.32049114698638859"/>
                </c:manualLayout>
              </c:layout>
              <c:tx>
                <c:rich>
                  <a:bodyPr/>
                  <a:lstStyle/>
                  <a:p>
                    <a:fld id="{73A009DD-E49C-2340-AF94-93320962D852}" type="CATEGORYNAME">
                      <a:rPr lang="en-US"/>
                      <a:pPr/>
                      <a:t>[NOM DE CATÉGORIE]</a:t>
                    </a:fld>
                    <a:endParaRPr lang="en-US" baseline="0"/>
                  </a:p>
                  <a:p>
                    <a:fld id="{CB7D9912-1C44-334A-A71B-7CFD4779C7F6}" type="PERCENTAGE">
                      <a:rPr lang="en-US" baseline="0"/>
                      <a:pPr/>
                      <a:t>[POURCENTAGE]</a:t>
                    </a:fld>
                    <a:endParaRPr lang="fr-FR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794-3549-9E75-41ADD5EC9021}"/>
                </c:ext>
              </c:extLst>
            </c:dLbl>
            <c:dLbl>
              <c:idx val="3"/>
              <c:layout>
                <c:manualLayout>
                  <c:x val="-2.0066090482632623E-2"/>
                  <c:y val="-0.23233458326493386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50923BA9-F16D-B847-9920-61C8C7AD70D8}" type="CATEGORYNAME">
                      <a:rPr lang="en-US"/>
                      <a:pPr>
                        <a:defRPr/>
                      </a:pPr>
                      <a:t>[NOM DE CATÉGORIE]</a:t>
                    </a:fld>
                    <a:endParaRPr lang="en-US" baseline="0"/>
                  </a:p>
                  <a:p>
                    <a:pPr>
                      <a:defRPr/>
                    </a:pPr>
                    <a:fld id="{A185DC4D-F2FD-984A-BD0C-BF5C7E0C4016}" type="PERCENTAGE">
                      <a:rPr lang="en-US" baseline="0"/>
                      <a:pPr>
                        <a:defRPr/>
                      </a:pPr>
                      <a:t>[POURCENTAGE]</a:t>
                    </a:fld>
                    <a:endParaRPr lang="fr-FR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rgbClr val="E7E6E6">
                      <a:lumMod val="75000"/>
                    </a:srgbClr>
                  </a:solidFill>
                </a:ln>
                <a:effectLst/>
              </c:sp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11427790453621262"/>
                      <c:h val="9.712683224174699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794-3549-9E75-41ADD5EC902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E7E6E6">
                    <a:lumMod val="75000"/>
                  </a:srgbClr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'discours de haine'!$J$51:$M$51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'discours de haine'!$J$52:$M$52</c:f>
              <c:numCache>
                <c:formatCode>0.00%</c:formatCode>
                <c:ptCount val="4"/>
                <c:pt idx="0" formatCode="0%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94-3549-9E75-41ADD5EC9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/>
              <a:t>Les objectifs du programme ont-ils été atteints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F9-3E40-82D2-56E43816A656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F9-3E40-82D2-56E43816A656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F9-3E40-82D2-56E43816A656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F9-3E40-82D2-56E43816A656}"/>
              </c:ext>
            </c:extLst>
          </c:dPt>
          <c:dLbls>
            <c:dLbl>
              <c:idx val="1"/>
              <c:layout>
                <c:manualLayout>
                  <c:x val="0.10535974598864453"/>
                  <c:y val="1.67433994083924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F9-3E40-82D2-56E43816A656}"/>
                </c:ext>
              </c:extLst>
            </c:dLbl>
            <c:dLbl>
              <c:idx val="2"/>
              <c:layout>
                <c:manualLayout>
                  <c:x val="-1.0408798237688345E-2"/>
                  <c:y val="-0.232061012908333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41298190768749"/>
                      <c:h val="0.108939325854582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2F9-3E40-82D2-56E43816A656}"/>
                </c:ext>
              </c:extLst>
            </c:dLbl>
            <c:dLbl>
              <c:idx val="3"/>
              <c:layout>
                <c:manualLayout>
                  <c:x val="3.4336508193830713E-3"/>
                  <c:y val="-0.242845620541477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F9-3E40-82D2-56E43816A65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interculturalité!$J$4:$M$4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interculturalité!$J$5:$M$5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 formatCode="0.0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F9-3E40-82D2-56E43816A6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/>
              <a:t>La</a:t>
            </a:r>
            <a:r>
              <a:rPr lang="fr-FR" sz="1800" b="1" baseline="0"/>
              <a:t> formation a-t-elle répondu à vos attentes ?</a:t>
            </a:r>
            <a:endParaRPr lang="fr-FR" sz="1800" b="1"/>
          </a:p>
        </c:rich>
      </c:tx>
      <c:layout>
        <c:manualLayout>
          <c:xMode val="edge"/>
          <c:yMode val="edge"/>
          <c:x val="0.17199514530679211"/>
          <c:y val="1.7580819280021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A7-9B46-ADC8-490D42C05768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A7-9B46-ADC8-490D42C05768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A7-9B46-ADC8-490D42C05768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FA7-9B46-ADC8-490D42C05768}"/>
              </c:ext>
            </c:extLst>
          </c:dPt>
          <c:dLbls>
            <c:dLbl>
              <c:idx val="0"/>
              <c:layout>
                <c:manualLayout>
                  <c:x val="-6.7639111441733638E-2"/>
                  <c:y val="1.46209972717449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4FA7-9B46-ADC8-490D42C05768}"/>
                </c:ext>
              </c:extLst>
            </c:dLbl>
            <c:dLbl>
              <c:idx val="1"/>
              <c:layout>
                <c:manualLayout>
                  <c:x val="8.7748036464951745E-2"/>
                  <c:y val="1.46209972717449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4FA7-9B46-ADC8-490D42C05768}"/>
                </c:ext>
              </c:extLst>
            </c:dLbl>
            <c:dLbl>
              <c:idx val="2"/>
              <c:layout>
                <c:manualLayout>
                  <c:x val="-3.1265896438982491E-2"/>
                  <c:y val="-0.23817853503646319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6515522099144272"/>
                      <c:h val="0.104909228440003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FA7-9B46-ADC8-490D42C05768}"/>
                </c:ext>
              </c:extLst>
            </c:dLbl>
            <c:dLbl>
              <c:idx val="3"/>
              <c:layout>
                <c:manualLayout>
                  <c:x val="0.14076247516252677"/>
                  <c:y val="-0.1739898675337647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9.9583945333664214E-2"/>
                      <c:h val="0.101404329519056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FA7-9B46-ADC8-490D42C0576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interculturalité!$J$25:$M$25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interculturalité!$J$26:$M$26</c:f>
              <c:numCache>
                <c:formatCode>0.00%</c:formatCode>
                <c:ptCount val="4"/>
                <c:pt idx="0" formatCode="General">
                  <c:v>0</c:v>
                </c:pt>
                <c:pt idx="1">
                  <c:v>2.6315789473684209E-2</c:v>
                </c:pt>
                <c:pt idx="2">
                  <c:v>0.97368421052631582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A7-9B46-ADC8-490D42C0576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baseline="0">
                <a:effectLst/>
              </a:rPr>
              <a:t>Cette formation vous a-t-elle apporté des éléments utiles pour votre travail au quotidien ? </a:t>
            </a:r>
            <a:endParaRPr lang="fr-FR" sz="1400">
              <a:effectLst/>
            </a:endParaRPr>
          </a:p>
        </c:rich>
      </c:tx>
      <c:layout>
        <c:manualLayout>
          <c:xMode val="edge"/>
          <c:yMode val="edge"/>
          <c:x val="0.10331825869892533"/>
          <c:y val="3.408081231481975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BC-9F4A-B362-E0E316B3070E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BC-9F4A-B362-E0E316B3070E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2BC-9F4A-B362-E0E316B3070E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2BC-9F4A-B362-E0E316B3070E}"/>
              </c:ext>
            </c:extLst>
          </c:dPt>
          <c:dLbls>
            <c:dLbl>
              <c:idx val="0"/>
              <c:layout>
                <c:manualLayout>
                  <c:x val="-7.3711405707008903E-2"/>
                  <c:y val="1.12242397621344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BC-9F4A-B362-E0E316B3070E}"/>
                </c:ext>
              </c:extLst>
            </c:dLbl>
            <c:dLbl>
              <c:idx val="1"/>
              <c:layout>
                <c:manualLayout>
                  <c:x val="0"/>
                  <c:y val="1.12242397621344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BC-9F4A-B362-E0E316B3070E}"/>
                </c:ext>
              </c:extLst>
            </c:dLbl>
            <c:dLbl>
              <c:idx val="2"/>
              <c:layout>
                <c:manualLayout>
                  <c:x val="7.5279733488009093E-2"/>
                  <c:y val="-0.197209671671101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213198972510671"/>
                      <c:h val="0.105725710071258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2BC-9F4A-B362-E0E316B3070E}"/>
                </c:ext>
              </c:extLst>
            </c:dLbl>
            <c:dLbl>
              <c:idx val="3"/>
              <c:layout>
                <c:manualLayout>
                  <c:x val="0.13017120582301575"/>
                  <c:y val="-9.25999780376097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BC-9F4A-B362-E0E316B3070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interculturalité!$J$83:$M$83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interculturalité!$J$84:$M$84</c:f>
              <c:numCache>
                <c:formatCode>0.00%</c:formatCode>
                <c:ptCount val="4"/>
                <c:pt idx="0" formatCode="0%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BC-9F4A-B362-E0E316B30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u="none" strike="noStrike" baseline="0">
                <a:effectLst/>
              </a:rPr>
              <a:t>Cette formation vous a-t-elle apporté des éléments utiles pour votre travail au quotidien ?</a:t>
            </a:r>
            <a:r>
              <a:rPr lang="fr-FR" sz="1400" b="1" i="0" baseline="0">
                <a:effectLst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05-C348-B61F-E57CE85589E6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C05-C348-B61F-E57CE85589E6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C05-C348-B61F-E57CE85589E6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05-C348-B61F-E57CE85589E6}"/>
              </c:ext>
            </c:extLst>
          </c:dPt>
          <c:dLbls>
            <c:dLbl>
              <c:idx val="0"/>
              <c:layout>
                <c:manualLayout>
                  <c:x val="-9.2378352701079483E-2"/>
                  <c:y val="1.87060950714494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05-C348-B61F-E57CE85589E6}"/>
                </c:ext>
              </c:extLst>
            </c:dLbl>
            <c:dLbl>
              <c:idx val="1"/>
              <c:layout>
                <c:manualLayout>
                  <c:x val="3.9018097674119782E-2"/>
                  <c:y val="1.83275572225914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05-C348-B61F-E57CE85589E6}"/>
                </c:ext>
              </c:extLst>
            </c:dLbl>
            <c:dLbl>
              <c:idx val="2"/>
              <c:layout>
                <c:manualLayout>
                  <c:x val="4.4415764728252566E-2"/>
                  <c:y val="-0.239680156012482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64255815539878"/>
                      <c:h val="0.1071219790404220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C05-C348-B61F-E57CE85589E6}"/>
                </c:ext>
              </c:extLst>
            </c:dLbl>
            <c:dLbl>
              <c:idx val="3"/>
              <c:layout>
                <c:manualLayout>
                  <c:x val="0.16341522426892632"/>
                  <c:y val="6.909303003791247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05-C348-B61F-E57CE85589E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'pratiques religieuses'!$I$85:$L$85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'pratiques religieuses'!$I$86:$L$86</c:f>
              <c:numCache>
                <c:formatCode>0.00%</c:formatCode>
                <c:ptCount val="4"/>
                <c:pt idx="0" formatCode="General">
                  <c:v>7.4074074074074077E-3</c:v>
                </c:pt>
                <c:pt idx="1">
                  <c:v>4.4444444444444446E-2</c:v>
                </c:pt>
                <c:pt idx="2">
                  <c:v>0.94814814814814818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05-C348-B61F-E57CE85589E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baseline="0">
                <a:effectLst/>
              </a:rPr>
              <a:t>Êtes-vous satisfait.e de la formation ?</a:t>
            </a:r>
            <a:endParaRPr lang="fr-FR" sz="1400">
              <a:effectLst/>
            </a:endParaRPr>
          </a:p>
        </c:rich>
      </c:tx>
      <c:layout>
        <c:manualLayout>
          <c:xMode val="edge"/>
          <c:yMode val="edge"/>
          <c:x val="0.29787192299340137"/>
          <c:y val="9.6667280200332314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dLbls>
            <c:dLbl>
              <c:idx val="0"/>
              <c:layout>
                <c:manualLayout>
                  <c:x val="6.7773507651400097E-2"/>
                  <c:y val="1.8627981344333081E-2"/>
                </c:manualLayout>
              </c:layout>
              <c:tx>
                <c:rich>
                  <a:bodyPr/>
                  <a:lstStyle/>
                  <a:p>
                    <a:fld id="{56DA7CCF-14CD-E64A-9C8B-7CF8A2BCD6C8}" type="CATEGORYNAME">
                      <a:rPr lang="en-US"/>
                      <a:pPr/>
                      <a:t>[NOM DE CATÉGORIE]</a:t>
                    </a:fld>
                    <a:endParaRPr lang="en-US" baseline="0"/>
                  </a:p>
                  <a:p>
                    <a:fld id="{909EC0AB-9CF4-2F4E-B4E2-3C9AB42D7ABE}" type="PERCENTAGE">
                      <a:rPr lang="en-US" baseline="0"/>
                      <a:pPr/>
                      <a:t>[POURCENTAGE]</a:t>
                    </a:fld>
                    <a:endParaRPr lang="fr-FR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C7E-B440-B86C-6E658A774E1F}"/>
                </c:ext>
              </c:extLst>
            </c:dLbl>
            <c:dLbl>
              <c:idx val="1"/>
              <c:layout>
                <c:manualLayout>
                  <c:x val="-7.4090180243566658E-2"/>
                  <c:y val="2.4782355548259614E-2"/>
                </c:manualLayout>
              </c:layout>
              <c:tx>
                <c:rich>
                  <a:bodyPr/>
                  <a:lstStyle/>
                  <a:p>
                    <a:fld id="{C5DD83BB-2FB1-A54D-9C9D-0775D57FF8C4}" type="CATEGORYNAME">
                      <a:rPr lang="en-US"/>
                      <a:pPr/>
                      <a:t>[NOM DE CATÉGORIE]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3884BE18-4060-3148-88FE-A0236076B681}" type="PERCENTAGE">
                      <a:rPr lang="en-US" baseline="0"/>
                      <a:pPr/>
                      <a:t>[POURCENTAGE]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C7E-B440-B86C-6E658A774E1F}"/>
                </c:ext>
              </c:extLst>
            </c:dLbl>
            <c:dLbl>
              <c:idx val="2"/>
              <c:layout>
                <c:manualLayout>
                  <c:x val="-1.6480265050681307E-2"/>
                  <c:y val="-0.32049114698638859"/>
                </c:manualLayout>
              </c:layout>
              <c:tx>
                <c:rich>
                  <a:bodyPr/>
                  <a:lstStyle/>
                  <a:p>
                    <a:fld id="{73A009DD-E49C-2340-AF94-93320962D852}" type="CATEGORYNAME">
                      <a:rPr lang="en-US"/>
                      <a:pPr/>
                      <a:t>[NOM DE CATÉGORIE]</a:t>
                    </a:fld>
                    <a:endParaRPr lang="en-US" baseline="0"/>
                  </a:p>
                  <a:p>
                    <a:fld id="{CB7D9912-1C44-334A-A71B-7CFD4779C7F6}" type="PERCENTAGE">
                      <a:rPr lang="en-US" baseline="0"/>
                      <a:pPr/>
                      <a:t>[POURCENTAGE]</a:t>
                    </a:fld>
                    <a:endParaRPr lang="fr-FR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C7E-B440-B86C-6E658A774E1F}"/>
                </c:ext>
              </c:extLst>
            </c:dLbl>
            <c:dLbl>
              <c:idx val="3"/>
              <c:layout>
                <c:manualLayout>
                  <c:x val="-2.0066090482632623E-2"/>
                  <c:y val="-0.23233458326493386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50923BA9-F16D-B847-9920-61C8C7AD70D8}" type="CATEGORYNAME">
                      <a:rPr lang="en-US"/>
                      <a:pPr>
                        <a:defRPr/>
                      </a:pPr>
                      <a:t>[NOM DE CATÉGORIE]</a:t>
                    </a:fld>
                    <a:endParaRPr lang="en-US" baseline="0"/>
                  </a:p>
                  <a:p>
                    <a:pPr>
                      <a:defRPr/>
                    </a:pPr>
                    <a:fld id="{A185DC4D-F2FD-984A-BD0C-BF5C7E0C4016}" type="PERCENTAGE">
                      <a:rPr lang="en-US" baseline="0"/>
                      <a:pPr>
                        <a:defRPr/>
                      </a:pPr>
                      <a:t>[POURCENTAGE]</a:t>
                    </a:fld>
                    <a:endParaRPr lang="fr-FR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rgbClr val="E7E6E6">
                      <a:lumMod val="75000"/>
                    </a:srgbClr>
                  </a:solidFill>
                </a:ln>
                <a:effectLst/>
              </c:sp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11427790453621262"/>
                      <c:h val="9.712683224174699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C7E-B440-B86C-6E658A774E1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E7E6E6">
                    <a:lumMod val="75000"/>
                  </a:srgbClr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interculturalité!$J$51:$M$51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interculturalité!$J$52:$M$52</c:f>
              <c:numCache>
                <c:formatCode>0.00%</c:formatCode>
                <c:ptCount val="4"/>
                <c:pt idx="0" formatCode="0%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7E-B440-B86C-6E658A774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u="none" strike="noStrike" baseline="0">
                <a:effectLst/>
              </a:rPr>
              <a:t>Ê</a:t>
            </a:r>
            <a:r>
              <a:rPr lang="fr-FR" b="1"/>
              <a:t>tes-vous satisfait</a:t>
            </a:r>
            <a:r>
              <a:rPr lang="fr-FR" b="1" baseline="0"/>
              <a:t>.e du rythme de la formation ?</a:t>
            </a:r>
          </a:p>
          <a:p>
            <a:pPr>
              <a:defRPr b="1"/>
            </a:pPr>
            <a:endParaRPr lang="fr-FR" b="1"/>
          </a:p>
        </c:rich>
      </c:tx>
      <c:layout>
        <c:manualLayout>
          <c:xMode val="edge"/>
          <c:yMode val="edge"/>
          <c:x val="0.19404948439217601"/>
          <c:y val="3.8535693748974019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6FB-1F48-852E-BF7DB9990C05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4B-8941-AACE-E51F74C85517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4B-8941-AACE-E51F74C85517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4B-8941-AACE-E51F74C85517}"/>
              </c:ext>
            </c:extLst>
          </c:dPt>
          <c:dLbls>
            <c:dLbl>
              <c:idx val="0"/>
              <c:layout>
                <c:manualLayout>
                  <c:x val="-0.13400690966830106"/>
                  <c:y val="5.355960316754380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/>
                      <a:t>pas du tout</a:t>
                    </a:r>
                  </a:p>
                  <a:p>
                    <a:pPr>
                      <a:defRPr/>
                    </a:pPr>
                    <a:fld id="{2D042CF8-F92D-6649-8E0D-188679A13E9C}" type="VALUE">
                      <a:rPr lang="en-US" sz="1000"/>
                      <a:pPr>
                        <a:defRPr/>
                      </a:pPr>
                      <a:t>[VALEUR]</a:t>
                    </a:fld>
                    <a:endParaRPr lang="fr-FR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1656339210222269"/>
                      <c:h val="0.1168616707239466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6FB-1F48-852E-BF7DB9990C05}"/>
                </c:ext>
              </c:extLst>
            </c:dLbl>
            <c:dLbl>
              <c:idx val="1"/>
              <c:layout>
                <c:manualLayout>
                  <c:x val="8.5348798659943201E-2"/>
                  <c:y val="4.9790095725369292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/>
                      <a:t>pas vraiment</a:t>
                    </a:r>
                  </a:p>
                  <a:p>
                    <a:pPr>
                      <a:defRPr/>
                    </a:pPr>
                    <a:r>
                      <a:rPr lang="en-US" sz="1000"/>
                      <a:t> </a:t>
                    </a:r>
                    <a:fld id="{63B0EC73-99A7-7B40-AEA8-73BCB0E48CF9}" type="VALUE">
                      <a:rPr lang="en-US" sz="1000"/>
                      <a:pPr>
                        <a:defRPr/>
                      </a:pPr>
                      <a:t>[VALEUR]</a:t>
                    </a:fld>
                    <a:endParaRPr lang="en-US" sz="1000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6729124677722915"/>
                      <c:h val="0.1168708676226502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F4B-8941-AACE-E51F74C85517}"/>
                </c:ext>
              </c:extLst>
            </c:dLbl>
            <c:dLbl>
              <c:idx val="2"/>
              <c:layout>
                <c:manualLayout>
                  <c:x val="2.4290202207163863E-2"/>
                  <c:y val="-0.197970302053217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/>
                      <a:t>oui plutôt/tout</a:t>
                    </a:r>
                    <a:r>
                      <a:rPr lang="en-US" sz="1000" baseline="0"/>
                      <a:t> à fait </a:t>
                    </a:r>
                  </a:p>
                  <a:p>
                    <a:pPr>
                      <a:defRPr/>
                    </a:pPr>
                    <a:fld id="{A6CF7EE2-E3B7-5940-9A28-19F17AE4A451}" type="VALUE">
                      <a:rPr lang="en-US" sz="1000"/>
                      <a:pPr>
                        <a:defRPr/>
                      </a:pPr>
                      <a:t>[VALEUR]</a:t>
                    </a:fld>
                    <a:endParaRPr lang="fr-FR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3489644221877123"/>
                      <c:h val="0.1067017780790031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F4B-8941-AACE-E51F74C855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GRAPHIQUES!$B$1:$E$1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GRAPHIQUES!$B$2:$E$2</c:f>
              <c:numCache>
                <c:formatCode>0%</c:formatCode>
                <c:ptCount val="4"/>
                <c:pt idx="0">
                  <c:v>1.4992503748125937E-3</c:v>
                </c:pt>
                <c:pt idx="1">
                  <c:v>1.9490254872563718E-2</c:v>
                </c:pt>
                <c:pt idx="2">
                  <c:v>0.97901049475262369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B-1F48-852E-BF7DB9990C0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u="none" strike="noStrike" baseline="0">
                <a:effectLst/>
              </a:rPr>
              <a:t>Ê</a:t>
            </a:r>
            <a:r>
              <a:rPr lang="fr-FR" b="1"/>
              <a:t>tes-vous</a:t>
            </a:r>
            <a:r>
              <a:rPr lang="fr-FR" b="1" baseline="0"/>
              <a:t> satisfait.e des supports pédagogiques utilisés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849-0E4A-A2C0-097000557092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49-0E4A-A2C0-097000557092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849-0E4A-A2C0-097000557092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49-0E4A-A2C0-097000557092}"/>
              </c:ext>
            </c:extLst>
          </c:dPt>
          <c:dLbls>
            <c:dLbl>
              <c:idx val="0"/>
              <c:layout>
                <c:manualLayout>
                  <c:x val="-0.11201771711708991"/>
                  <c:y val="2.3171837922706603E-2"/>
                </c:manualLayout>
              </c:layout>
              <c:tx>
                <c:rich>
                  <a:bodyPr/>
                  <a:lstStyle/>
                  <a:p>
                    <a:fld id="{2E5F229E-E60E-BD49-8F4B-11E467904941}" type="CATEGORYNAME">
                      <a:rPr lang="en-US"/>
                      <a:pPr/>
                      <a:t>[NOM DE CATÉGORIE]</a:t>
                    </a:fld>
                    <a:r>
                      <a:rPr lang="en-US" baseline="0"/>
                      <a:t> </a:t>
                    </a:r>
                  </a:p>
                  <a:p>
                    <a:fld id="{69BFBF23-04E8-C64C-803F-FDF44D351043}" type="VALUE">
                      <a:rPr lang="en-US" baseline="0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849-0E4A-A2C0-097000557092}"/>
                </c:ext>
              </c:extLst>
            </c:dLbl>
            <c:dLbl>
              <c:idx val="1"/>
              <c:layout>
                <c:manualLayout>
                  <c:x val="5.8649390432528009E-2"/>
                  <c:y val="2.2723767588867516E-2"/>
                </c:manualLayout>
              </c:layout>
              <c:tx>
                <c:rich>
                  <a:bodyPr/>
                  <a:lstStyle/>
                  <a:p>
                    <a:fld id="{1A439C1C-D298-C84E-B76D-B0FC8A4DDA71}" type="CATEGORYNAME">
                      <a:rPr lang="en-US"/>
                      <a:pPr/>
                      <a:t>[NOM DE CATÉGORIE]</a:t>
                    </a:fld>
                    <a:endParaRPr lang="en-US" baseline="0"/>
                  </a:p>
                  <a:p>
                    <a:fld id="{36666B6D-3E33-1246-A313-1794862B9EB2}" type="VALUE">
                      <a:rPr lang="en-US" baseline="0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849-0E4A-A2C0-097000557092}"/>
                </c:ext>
              </c:extLst>
            </c:dLbl>
            <c:dLbl>
              <c:idx val="2"/>
              <c:layout>
                <c:manualLayout>
                  <c:x val="-3.5962157489825494E-2"/>
                  <c:y val="-0.25161977825163695"/>
                </c:manualLayout>
              </c:layout>
              <c:tx>
                <c:rich>
                  <a:bodyPr/>
                  <a:lstStyle/>
                  <a:p>
                    <a:fld id="{A6C8D3C5-8CCF-8149-9A3A-EC51D30B5AC8}" type="CATEGORYNAME">
                      <a:rPr lang="en-US"/>
                      <a:pPr/>
                      <a:t>[NOM DE CATÉGORIE]</a:t>
                    </a:fld>
                    <a:endParaRPr lang="en-US" baseline="0"/>
                  </a:p>
                  <a:p>
                    <a:fld id="{2DDAFFC0-1584-DB44-B37B-5CBF147139C4}" type="VALUE">
                      <a:rPr lang="en-US" baseline="0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849-0E4A-A2C0-09700055709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4B69C9D-1994-554E-9015-4B05F5448D2C}" type="CATEGORYNAME">
                      <a:rPr lang="en-US"/>
                      <a:pPr/>
                      <a:t>[NOM DE CATÉGORIE]</a:t>
                    </a:fld>
                    <a:endParaRPr lang="en-US" baseline="0"/>
                  </a:p>
                  <a:p>
                    <a:fld id="{EA9EBE3D-699B-3F41-BEB3-60B527CE5A3D}" type="VALUE">
                      <a:rPr lang="en-US" baseline="0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849-0E4A-A2C0-09700055709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GRAPHIQUES!$B$28:$E$28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GRAPHIQUES!$B$29:$E$29</c:f>
              <c:numCache>
                <c:formatCode>0%</c:formatCode>
                <c:ptCount val="4"/>
                <c:pt idx="0">
                  <c:v>1.4992503748125937E-3</c:v>
                </c:pt>
                <c:pt idx="1">
                  <c:v>2.0989505247376312E-2</c:v>
                </c:pt>
                <c:pt idx="2">
                  <c:v>0.97751124437781112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9-0E4A-A2C0-09700055709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Les objectifs du programme ont-ils été atteints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EB-DF48-A4D7-028FF460D68F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634-FA49-9298-D8B80A84BA0D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EB-DF48-A4D7-028FF460D68F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34-FA49-9298-D8B80A84BA0D}"/>
              </c:ext>
            </c:extLst>
          </c:dPt>
          <c:dLbls>
            <c:dLbl>
              <c:idx val="0"/>
              <c:layout>
                <c:manualLayout>
                  <c:x val="-0.10960973680796632"/>
                  <c:y val="2.4766529085633437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3EB-DF48-A4D7-028FF460D68F}"/>
                </c:ext>
              </c:extLst>
            </c:dLbl>
            <c:dLbl>
              <c:idx val="1"/>
              <c:layout>
                <c:manualLayout>
                  <c:x val="6.9364333218179058E-2"/>
                  <c:y val="2.826441430592352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1634-FA49-9298-D8B80A84BA0D}"/>
                </c:ext>
              </c:extLst>
            </c:dLbl>
            <c:dLbl>
              <c:idx val="2"/>
              <c:layout>
                <c:manualLayout>
                  <c:x val="2.1798237360578374E-2"/>
                  <c:y val="-0.2742365477090204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6282163987693166"/>
                      <c:h val="0.109743342718169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3EB-DF48-A4D7-028FF460D68F}"/>
                </c:ext>
              </c:extLst>
            </c:dLbl>
            <c:dLbl>
              <c:idx val="3"/>
              <c:layout>
                <c:manualLayout>
                  <c:x val="0.14703818460862886"/>
                  <c:y val="-0.105816220524787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34-FA49-9298-D8B80A84BA0D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GRAPHIQUES!$B$54:$E$54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GRAPHIQUES!$B$55:$E$55</c:f>
              <c:numCache>
                <c:formatCode>0%</c:formatCode>
                <c:ptCount val="4"/>
                <c:pt idx="0">
                  <c:v>2.9985007496251873E-3</c:v>
                </c:pt>
                <c:pt idx="1">
                  <c:v>1.7991004497751123E-2</c:v>
                </c:pt>
                <c:pt idx="2">
                  <c:v>0.97901049475262369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4-FA49-9298-D8B80A84BA0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La</a:t>
            </a:r>
            <a:r>
              <a:rPr lang="fr-FR" b="1" baseline="0"/>
              <a:t> formation a-t-elle répondu à vos attentes ?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6C4-144C-AA86-EF75EFCDB281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6C4-144C-AA86-EF75EFCDB281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6C4-144C-AA86-EF75EFCDB281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6C4-144C-AA86-EF75EFCDB281}"/>
              </c:ext>
            </c:extLst>
          </c:dPt>
          <c:dLbls>
            <c:dLbl>
              <c:idx val="0"/>
              <c:layout>
                <c:manualLayout>
                  <c:x val="-0.10166302624159534"/>
                  <c:y val="3.3698392211835106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6C4-144C-AA86-EF75EFCDB281}"/>
                </c:ext>
              </c:extLst>
            </c:dLbl>
            <c:dLbl>
              <c:idx val="1"/>
              <c:layout>
                <c:manualLayout>
                  <c:x val="3.3517525949479175E-2"/>
                  <c:y val="3.106614372191164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6C4-144C-AA86-EF75EFCDB281}"/>
                </c:ext>
              </c:extLst>
            </c:dLbl>
            <c:dLbl>
              <c:idx val="2"/>
              <c:layout>
                <c:manualLayout>
                  <c:x val="3.6624864544295359E-2"/>
                  <c:y val="-0.23524886638703396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701541463864792"/>
                      <c:h val="0.128742911343648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6C4-144C-AA86-EF75EFCDB28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GRAPHIQUES!$B$79:$E$79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GRAPHIQUES!$B$80:$E$80</c:f>
              <c:numCache>
                <c:formatCode>0%</c:formatCode>
                <c:ptCount val="4"/>
                <c:pt idx="0">
                  <c:v>5.9970014992503746E-3</c:v>
                </c:pt>
                <c:pt idx="1">
                  <c:v>2.8485757121439279E-2</c:v>
                </c:pt>
                <c:pt idx="2">
                  <c:v>0.96551724137931028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4C-3241-B4E1-05C53C144F2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u="none" strike="noStrike" baseline="0">
                <a:effectLst/>
              </a:rPr>
              <a:t>Ê</a:t>
            </a:r>
            <a:r>
              <a:rPr lang="fr-FR" b="1"/>
              <a:t>tes-vous</a:t>
            </a:r>
            <a:r>
              <a:rPr lang="fr-FR" b="1" baseline="0"/>
              <a:t> satisfait.e de la démarche pédagogique </a:t>
            </a:r>
          </a:p>
          <a:p>
            <a:pPr>
              <a:defRPr b="1"/>
            </a:pPr>
            <a:r>
              <a:rPr lang="fr-FR" b="1" baseline="0"/>
              <a:t>et de la qualité de l'animation ?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1E-CE42-8086-151B278F856B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5FD-9749-8962-9B29D88985C0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1E-CE42-8086-151B278F856B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1E-CE42-8086-151B278F856B}"/>
              </c:ext>
            </c:extLst>
          </c:dPt>
          <c:dLbls>
            <c:dLbl>
              <c:idx val="0"/>
              <c:layout>
                <c:manualLayout>
                  <c:x val="-0.12139693690832853"/>
                  <c:y val="3.449381205713355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F21E-CE42-8086-151B278F856B}"/>
                </c:ext>
              </c:extLst>
            </c:dLbl>
            <c:dLbl>
              <c:idx val="1"/>
              <c:layout>
                <c:manualLayout>
                  <c:x val="8.6581371831946419E-2"/>
                  <c:y val="1.701064704187408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5FD-9749-8962-9B29D88985C0}"/>
                </c:ext>
              </c:extLst>
            </c:dLbl>
            <c:dLbl>
              <c:idx val="2"/>
              <c:layout>
                <c:manualLayout>
                  <c:x val="-1.049294872205073E-3"/>
                  <c:y val="-0.2091479715611203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F21E-CE42-8086-151B278F856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GRAPHIQUES!$B$104:$E$104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GRAPHIQUES!$B$105:$E$105</c:f>
              <c:numCache>
                <c:formatCode>0%</c:formatCode>
                <c:ptCount val="4"/>
                <c:pt idx="0">
                  <c:v>0</c:v>
                </c:pt>
                <c:pt idx="1">
                  <c:v>8.9820359281437123E-3</c:v>
                </c:pt>
                <c:pt idx="2">
                  <c:v>0.99101796407185638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D-9749-8962-9B29D88985C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baseline="0">
                <a:effectLst/>
              </a:rPr>
              <a:t>Êtes-vous satisfait.e de la formation ?</a:t>
            </a:r>
            <a:endParaRPr lang="fr-FR" sz="1400" b="1">
              <a:effectLst/>
            </a:endParaRPr>
          </a:p>
          <a:p>
            <a:pPr>
              <a:defRPr b="1"/>
            </a:pPr>
            <a:endParaRPr lang="fr-FR" b="1"/>
          </a:p>
        </c:rich>
      </c:tx>
      <c:layout>
        <c:manualLayout>
          <c:xMode val="edge"/>
          <c:yMode val="edge"/>
          <c:x val="0.20581147676244615"/>
          <c:y val="1.8499490317191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43-A641-B366-F121469013B1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E43-A641-B366-F121469013B1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272-3E4F-8C32-680DB987FFBB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272-3E4F-8C32-680DB987FFBB}"/>
              </c:ext>
            </c:extLst>
          </c:dPt>
          <c:dLbls>
            <c:dLbl>
              <c:idx val="0"/>
              <c:layout>
                <c:manualLayout>
                  <c:x val="-0.11236231930792594"/>
                  <c:y val="6.042179714463734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43-A641-B366-F121469013B1}"/>
                </c:ext>
              </c:extLst>
            </c:dLbl>
            <c:dLbl>
              <c:idx val="1"/>
              <c:layout>
                <c:manualLayout>
                  <c:x val="9.4299030039745685E-2"/>
                  <c:y val="-3.370882108801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43-A641-B366-F121469013B1}"/>
                </c:ext>
              </c:extLst>
            </c:dLbl>
            <c:dLbl>
              <c:idx val="2"/>
              <c:layout>
                <c:manualLayout>
                  <c:x val="7.0845291553794723E-3"/>
                  <c:y val="-0.215687593268353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90134409869858"/>
                      <c:h val="0.14460503654854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272-3E4F-8C32-680DB987FFBB}"/>
                </c:ext>
              </c:extLst>
            </c:dLbl>
            <c:spPr>
              <a:solidFill>
                <a:sysClr val="window" lastClr="FFFFFF"/>
              </a:solidFill>
              <a:ln cap="sq">
                <a:solidFill>
                  <a:schemeClr val="bg2">
                    <a:lumMod val="90000"/>
                  </a:schemeClr>
                </a:solidFill>
                <a:round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GRAPHIQUES!$B$129:$E$129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GRAPHIQUES!$B$130:$E$130</c:f>
              <c:numCache>
                <c:formatCode>0%</c:formatCode>
                <c:ptCount val="4"/>
                <c:pt idx="0">
                  <c:v>0</c:v>
                </c:pt>
                <c:pt idx="1">
                  <c:v>1.5600624024960999E-2</c:v>
                </c:pt>
                <c:pt idx="2">
                  <c:v>0.98439937597503901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A641-B366-F121469013B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u="none" strike="noStrike" baseline="0">
                <a:effectLst/>
              </a:rPr>
              <a:t>Cette formation vous a-t-elle apporté des éléments utiles pour votre travail au quotidien ?</a:t>
            </a:r>
            <a:r>
              <a:rPr lang="fr-FR" sz="1400" b="1" i="0" baseline="0">
                <a:effectLst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F9-9649-9232-D8F4DDCE358B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F9-9649-9232-D8F4DDCE358B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3F9-9649-9232-D8F4DDCE358B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3F9-9649-9232-D8F4DDCE358B}"/>
              </c:ext>
            </c:extLst>
          </c:dPt>
          <c:dLbls>
            <c:dLbl>
              <c:idx val="0"/>
              <c:layout>
                <c:manualLayout>
                  <c:x val="-0.10671940809362292"/>
                  <c:y val="2.53912291439899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F9-9649-9232-D8F4DDCE358B}"/>
                </c:ext>
              </c:extLst>
            </c:dLbl>
            <c:dLbl>
              <c:idx val="1"/>
              <c:layout>
                <c:manualLayout>
                  <c:x val="6.7048358832993454E-2"/>
                  <c:y val="3.6278325572680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F9-9649-9232-D8F4DDCE358B}"/>
                </c:ext>
              </c:extLst>
            </c:dLbl>
            <c:dLbl>
              <c:idx val="2"/>
              <c:layout>
                <c:manualLayout>
                  <c:x val="0.10590851634936273"/>
                  <c:y val="-0.226301548126573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96085125941093"/>
                      <c:h val="0.104663408554498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3F9-9649-9232-D8F4DDCE358B}"/>
                </c:ext>
              </c:extLst>
            </c:dLbl>
            <c:dLbl>
              <c:idx val="3"/>
              <c:layout>
                <c:manualLayout>
                  <c:x val="0.1881287430166925"/>
                  <c:y val="-1.84847026713743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F9-9649-9232-D8F4DDCE358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GRAPHIQUES!$B$155:$E$155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GRAPHIQUES!$B$156:$E$156</c:f>
              <c:numCache>
                <c:formatCode>0%</c:formatCode>
                <c:ptCount val="4"/>
                <c:pt idx="0">
                  <c:v>8.9955022488755615E-3</c:v>
                </c:pt>
                <c:pt idx="1">
                  <c:v>5.5472263868065967E-2</c:v>
                </c:pt>
                <c:pt idx="2">
                  <c:v>0.93553223388305851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F9-9649-9232-D8F4DDCE358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/>
              <a:t>Les objectifs du programme ont-ils été atteints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6D-4143-9292-4DE4C2BEC812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6D-4143-9292-4DE4C2BEC812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6D-4143-9292-4DE4C2BEC812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56D-4143-9292-4DE4C2BEC812}"/>
              </c:ext>
            </c:extLst>
          </c:dPt>
          <c:dLbls>
            <c:dLbl>
              <c:idx val="0"/>
              <c:layout>
                <c:manualLayout>
                  <c:x val="-9.9370401210566922E-2"/>
                  <c:y val="8.757467655645263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6D-4143-9292-4DE4C2BEC812}"/>
                </c:ext>
              </c:extLst>
            </c:dLbl>
            <c:dLbl>
              <c:idx val="1"/>
              <c:layout>
                <c:manualLayout>
                  <c:x val="7.4472957607983378E-2"/>
                  <c:y val="1.06473920095821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6D-4143-9292-4DE4C2BEC812}"/>
                </c:ext>
              </c:extLst>
            </c:dLbl>
            <c:dLbl>
              <c:idx val="2"/>
              <c:layout>
                <c:manualLayout>
                  <c:x val="2.1959319242258132E-2"/>
                  <c:y val="-0.198665421024914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16343578639804"/>
                      <c:h val="0.145465502098286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56D-4143-9292-4DE4C2BEC812}"/>
                </c:ext>
              </c:extLst>
            </c:dLbl>
            <c:dLbl>
              <c:idx val="3"/>
              <c:layout>
                <c:manualLayout>
                  <c:x val="0.18925387186657777"/>
                  <c:y val="-3.7297806580138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30681701603672"/>
                      <c:h val="0.127688595258176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E56D-4143-9292-4DE4C2BEC81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genre!$I$3:$L$3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genre!$I$4:$L$4</c:f>
              <c:numCache>
                <c:formatCode>0.00%</c:formatCode>
                <c:ptCount val="4"/>
                <c:pt idx="0" formatCode="General">
                  <c:v>6.5359477124183009E-3</c:v>
                </c:pt>
                <c:pt idx="1">
                  <c:v>1.9607843137254902E-2</c:v>
                </c:pt>
                <c:pt idx="2">
                  <c:v>0.97385620915032678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6D-4143-9292-4DE4C2BEC8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/>
              <a:t>La</a:t>
            </a:r>
            <a:r>
              <a:rPr lang="fr-FR" sz="1800" b="1" baseline="0"/>
              <a:t> formation a-t-elle répondu à vos attentes ?</a:t>
            </a:r>
            <a:endParaRPr lang="fr-FR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34-A649-BA58-AA71D29A581F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34-A649-BA58-AA71D29A581F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34-A649-BA58-AA71D29A581F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0634-A649-BA58-AA71D29A581F}"/>
              </c:ext>
            </c:extLst>
          </c:dPt>
          <c:dLbls>
            <c:dLbl>
              <c:idx val="0"/>
              <c:layout>
                <c:manualLayout>
                  <c:x val="-7.7453001463533566E-2"/>
                  <c:y val="8.476048710806326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34-A649-BA58-AA71D29A581F}"/>
                </c:ext>
              </c:extLst>
            </c:dLbl>
            <c:dLbl>
              <c:idx val="1"/>
              <c:layout>
                <c:manualLayout>
                  <c:x val="1.2908833577255594E-2"/>
                  <c:y val="2.825349570268779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34-A649-BA58-AA71D29A581F}"/>
                </c:ext>
              </c:extLst>
            </c:dLbl>
            <c:dLbl>
              <c:idx val="2"/>
              <c:layout>
                <c:manualLayout>
                  <c:x val="5.5187376070366438E-2"/>
                  <c:y val="-0.2561926969649889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80565391330165"/>
                      <c:h val="0.121243371013325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634-A649-BA58-AA71D29A581F}"/>
                </c:ext>
              </c:extLst>
            </c:dLbl>
            <c:dLbl>
              <c:idx val="3"/>
              <c:layout>
                <c:manualLayout>
                  <c:x val="0.16412667094250596"/>
                  <c:y val="-4.8858970340281097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330929347441763"/>
                      <c:h val="0.121385916277550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0634-A649-BA58-AA71D29A581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genre!$I$22:$L$22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genre!$I$23:$L$23</c:f>
              <c:numCache>
                <c:formatCode>0.00%</c:formatCode>
                <c:ptCount val="4"/>
                <c:pt idx="0" formatCode="General">
                  <c:v>6.5359477124183009E-3</c:v>
                </c:pt>
                <c:pt idx="1">
                  <c:v>2.6143790849673203E-2</c:v>
                </c:pt>
                <c:pt idx="2">
                  <c:v>0.9673202614379085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34-A649-BA58-AA71D29A581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Êtes-vous satisfait.e de la formation ?</a:t>
            </a:r>
            <a:endParaRPr lang="fr-FR" sz="1800" b="1">
              <a:effectLst/>
            </a:endParaRPr>
          </a:p>
          <a:p>
            <a:pPr>
              <a:defRPr b="1"/>
            </a:pP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37-3143-9810-CDBA94D3D134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37-3143-9810-CDBA94D3D134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37-3143-9810-CDBA94D3D134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37-3143-9810-CDBA94D3D134}"/>
              </c:ext>
            </c:extLst>
          </c:dPt>
          <c:dLbls>
            <c:dLbl>
              <c:idx val="0"/>
              <c:layout>
                <c:manualLayout>
                  <c:x val="-0.14558479921747294"/>
                  <c:y val="1.193572791424104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937-3143-9810-CDBA94D3D134}"/>
                </c:ext>
              </c:extLst>
            </c:dLbl>
            <c:dLbl>
              <c:idx val="1"/>
              <c:layout>
                <c:manualLayout>
                  <c:x val="2.107635669905579E-3"/>
                  <c:y val="-4.1043161457221438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937-3143-9810-CDBA94D3D134}"/>
                </c:ext>
              </c:extLst>
            </c:dLbl>
            <c:dLbl>
              <c:idx val="2"/>
              <c:layout>
                <c:manualLayout>
                  <c:x val="6.1014658256956216E-3"/>
                  <c:y val="-0.25049676254620046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3677005854714422"/>
                      <c:h val="9.9230945071153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937-3143-9810-CDBA94D3D134}"/>
                </c:ext>
              </c:extLst>
            </c:dLbl>
            <c:dLbl>
              <c:idx val="3"/>
              <c:layout>
                <c:manualLayout>
                  <c:x val="0.18572026283549059"/>
                  <c:y val="-0.18619282519591879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186958316137019"/>
                      <c:h val="0.100620666790182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937-3143-9810-CDBA94D3D134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genre!$I$52:$L$52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genre!$I$53:$L$53</c:f>
              <c:numCache>
                <c:formatCode>0.00%</c:formatCode>
                <c:ptCount val="4"/>
                <c:pt idx="0" formatCode="General">
                  <c:v>0</c:v>
                </c:pt>
                <c:pt idx="1">
                  <c:v>3.5460992907801421E-2</c:v>
                </c:pt>
                <c:pt idx="2">
                  <c:v>0.96453900709219853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37-3143-9810-CDBA94D3D13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600" b="1" i="0" u="none" strike="noStrike" baseline="0">
                <a:effectLst/>
              </a:rPr>
              <a:t>Cette formation vous a-t-elle apporté des éléments utiles pour votre travail au quotidien ?</a:t>
            </a:r>
            <a:r>
              <a:rPr lang="fr-FR" sz="1600" b="1" i="0" baseline="0">
                <a:effectLst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83-F04B-9E5A-FB615D005B7C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83-F04B-9E5A-FB615D005B7C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483-F04B-9E5A-FB615D005B7C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483-F04B-9E5A-FB615D005B7C}"/>
              </c:ext>
            </c:extLst>
          </c:dPt>
          <c:dLbls>
            <c:dLbl>
              <c:idx val="0"/>
              <c:layout>
                <c:manualLayout>
                  <c:x val="-6.0476727281160055E-2"/>
                  <c:y val="9.896404746220499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83-F04B-9E5A-FB615D005B7C}"/>
                </c:ext>
              </c:extLst>
            </c:dLbl>
            <c:dLbl>
              <c:idx val="1"/>
              <c:layout>
                <c:manualLayout>
                  <c:x val="2.2403538514411413E-2"/>
                  <c:y val="1.59120540277847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83-F04B-9E5A-FB615D005B7C}"/>
                </c:ext>
              </c:extLst>
            </c:dLbl>
            <c:dLbl>
              <c:idx val="2"/>
              <c:layout>
                <c:manualLayout>
                  <c:x val="4.7380889435985556E-2"/>
                  <c:y val="-0.237399246013966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83-F04B-9E5A-FB615D005B7C}"/>
                </c:ext>
              </c:extLst>
            </c:dLbl>
            <c:dLbl>
              <c:idx val="3"/>
              <c:layout>
                <c:manualLayout>
                  <c:x val="0.14345778559567798"/>
                  <c:y val="1.13477517437729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83-F04B-9E5A-FB615D005B7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genre!$I$83:$L$83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genre!$I$84:$L$84</c:f>
              <c:numCache>
                <c:formatCode>0.00%</c:formatCode>
                <c:ptCount val="4"/>
                <c:pt idx="0" formatCode="General">
                  <c:v>6.5359477124183009E-3</c:v>
                </c:pt>
                <c:pt idx="1">
                  <c:v>0.1111111111111111</c:v>
                </c:pt>
                <c:pt idx="2">
                  <c:v>0.88235294117647056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83-F04B-9E5A-FB615D005B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/>
              <a:t>Les objectifs du programme ont-ils été atteints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666-1E4C-A415-F4499CB233DD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666-1E4C-A415-F4499CB233DD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666-1E4C-A415-F4499CB233DD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666-1E4C-A415-F4499CB233DD}"/>
              </c:ext>
            </c:extLst>
          </c:dPt>
          <c:dLbls>
            <c:dLbl>
              <c:idx val="0"/>
              <c:layout>
                <c:manualLayout>
                  <c:x val="-8.9968503846175121E-2"/>
                  <c:y val="1.1532743556843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66-1E4C-A415-F4499CB233DD}"/>
                </c:ext>
              </c:extLst>
            </c:dLbl>
            <c:dLbl>
              <c:idx val="1"/>
              <c:layout>
                <c:manualLayout>
                  <c:x val="2.107088806393824E-2"/>
                  <c:y val="7.648449756934963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66-1E4C-A415-F4499CB233DD}"/>
                </c:ext>
              </c:extLst>
            </c:dLbl>
            <c:dLbl>
              <c:idx val="2"/>
              <c:layout>
                <c:manualLayout>
                  <c:x val="1.0237133597883747E-2"/>
                  <c:y val="-0.244618657725517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59693292129422"/>
                      <c:h val="0.141438005639907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666-1E4C-A415-F4499CB233DD}"/>
                </c:ext>
              </c:extLst>
            </c:dLbl>
            <c:dLbl>
              <c:idx val="3"/>
              <c:layout>
                <c:manualLayout>
                  <c:x val="4.4836646235476278E-2"/>
                  <c:y val="-0.23067621517508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563094422660548E-2"/>
                      <c:h val="0.129313340047350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D666-1E4C-A415-F4499CB233D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racisme!$I$4:$L$4</c:f>
              <c:strCache>
                <c:ptCount val="3"/>
                <c:pt idx="0">
                  <c:v>pas du tout</c:v>
                </c:pt>
                <c:pt idx="1">
                  <c:v>pas vraiment</c:v>
                </c:pt>
                <c:pt idx="2">
                  <c:v>oui plutôt/tout à fait</c:v>
                </c:pt>
              </c:strCache>
            </c:strRef>
          </c:cat>
          <c:val>
            <c:numRef>
              <c:f>racisme!$I$5:$L$5</c:f>
              <c:numCache>
                <c:formatCode>0.00%</c:formatCode>
                <c:ptCount val="4"/>
                <c:pt idx="0" formatCode="General">
                  <c:v>0</c:v>
                </c:pt>
                <c:pt idx="1">
                  <c:v>1.4285714285714285E-2</c:v>
                </c:pt>
                <c:pt idx="2">
                  <c:v>0.98571428571428577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66-1E4C-A415-F4499CB233D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1117599</xdr:colOff>
      <xdr:row>3</xdr:row>
      <xdr:rowOff>349249</xdr:rowOff>
    </xdr:from>
    <xdr:to>
      <xdr:col>11</xdr:col>
      <xdr:colOff>1065162</xdr:colOff>
      <xdr:row>15</xdr:row>
      <xdr:rowOff>81935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6667D96-9FDD-C945-AAD1-5B39DFFB0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122628</xdr:colOff>
      <xdr:row>29</xdr:row>
      <xdr:rowOff>54350</xdr:rowOff>
    </xdr:from>
    <xdr:to>
      <xdr:col>12</xdr:col>
      <xdr:colOff>266290</xdr:colOff>
      <xdr:row>49</xdr:row>
      <xdr:rowOff>225322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C299CDD-76AA-9246-A836-DC5C990D07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345440</xdr:colOff>
      <xdr:row>56</xdr:row>
      <xdr:rowOff>104567</xdr:rowOff>
    </xdr:from>
    <xdr:to>
      <xdr:col>11</xdr:col>
      <xdr:colOff>1026160</xdr:colOff>
      <xdr:row>80</xdr:row>
      <xdr:rowOff>150215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B90AEDA7-42FD-684B-887B-E92898C90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135467</xdr:colOff>
      <xdr:row>89</xdr:row>
      <xdr:rowOff>135467</xdr:rowOff>
    </xdr:from>
    <xdr:to>
      <xdr:col>11</xdr:col>
      <xdr:colOff>1083733</xdr:colOff>
      <xdr:row>110</xdr:row>
      <xdr:rowOff>135467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8B6261AE-6FD7-2245-B779-48C34C410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1117599</xdr:colOff>
      <xdr:row>6</xdr:row>
      <xdr:rowOff>349248</xdr:rowOff>
    </xdr:from>
    <xdr:to>
      <xdr:col>12</xdr:col>
      <xdr:colOff>1092200</xdr:colOff>
      <xdr:row>22</xdr:row>
      <xdr:rowOff>126999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08E5CEA-6495-0548-81B0-67622D83A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135328</xdr:colOff>
      <xdr:row>28</xdr:row>
      <xdr:rowOff>191370</xdr:rowOff>
    </xdr:from>
    <xdr:to>
      <xdr:col>13</xdr:col>
      <xdr:colOff>233563</xdr:colOff>
      <xdr:row>48</xdr:row>
      <xdr:rowOff>14599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D929B6D-535A-5640-9C1F-BEC4C268F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107658</xdr:colOff>
      <xdr:row>86</xdr:row>
      <xdr:rowOff>125909</xdr:rowOff>
    </xdr:from>
    <xdr:to>
      <xdr:col>14</xdr:col>
      <xdr:colOff>13955</xdr:colOff>
      <xdr:row>108</xdr:row>
      <xdr:rowOff>181428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65FBF04-1025-2542-8B10-8022985C6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238347</xdr:colOff>
      <xdr:row>55</xdr:row>
      <xdr:rowOff>11316</xdr:rowOff>
    </xdr:from>
    <xdr:to>
      <xdr:col>14</xdr:col>
      <xdr:colOff>301872</xdr:colOff>
      <xdr:row>75</xdr:row>
      <xdr:rowOff>28864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2E7D36FE-74B9-A743-B1FC-BFA43857F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334245</xdr:colOff>
      <xdr:row>2</xdr:row>
      <xdr:rowOff>192759</xdr:rowOff>
    </xdr:from>
    <xdr:to>
      <xdr:col>8</xdr:col>
      <xdr:colOff>304800</xdr:colOff>
      <xdr:row>19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8B31CB8B-2A91-6140-A63C-D1DDED696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1632450</xdr:colOff>
      <xdr:row>30</xdr:row>
      <xdr:rowOff>191965</xdr:rowOff>
    </xdr:from>
    <xdr:to>
      <xdr:col>7</xdr:col>
      <xdr:colOff>811389</xdr:colOff>
      <xdr:row>48</xdr:row>
      <xdr:rowOff>94074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9745E988-9D49-8842-A234-D5A4622B8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253998</xdr:colOff>
      <xdr:row>56</xdr:row>
      <xdr:rowOff>57149</xdr:rowOff>
    </xdr:from>
    <xdr:to>
      <xdr:col>9</xdr:col>
      <xdr:colOff>58796</xdr:colOff>
      <xdr:row>74</xdr:row>
      <xdr:rowOff>11759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4CF54E9E-9081-0743-AA60-0637B80C1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423073</xdr:colOff>
      <xdr:row>81</xdr:row>
      <xdr:rowOff>14241</xdr:rowOff>
    </xdr:from>
    <xdr:to>
      <xdr:col>8</xdr:col>
      <xdr:colOff>539489</xdr:colOff>
      <xdr:row>99</xdr:row>
      <xdr:rowOff>27647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9100F8B3-039D-2147-B6BF-E8BABCBFB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118769</xdr:colOff>
      <xdr:row>106</xdr:row>
      <xdr:rowOff>198261</xdr:rowOff>
    </xdr:from>
    <xdr:to>
      <xdr:col>8</xdr:col>
      <xdr:colOff>446852</xdr:colOff>
      <xdr:row>124</xdr:row>
      <xdr:rowOff>129352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6F567242-98E8-8C46-A177-4F726F96F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95250</xdr:colOff>
      <xdr:row>131</xdr:row>
      <xdr:rowOff>186500</xdr:rowOff>
    </xdr:from>
    <xdr:to>
      <xdr:col>7</xdr:col>
      <xdr:colOff>517407</xdr:colOff>
      <xdr:row>148</xdr:row>
      <xdr:rowOff>164627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C770DB-109B-3B4E-AFC4-73945ADF2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26644</xdr:colOff>
      <xdr:row>158</xdr:row>
      <xdr:rowOff>150980</xdr:rowOff>
    </xdr:from>
    <xdr:to>
      <xdr:col>6</xdr:col>
      <xdr:colOff>772658</xdr:colOff>
      <xdr:row>176</xdr:row>
      <xdr:rowOff>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65189FD4-AB88-B24A-800A-B699D884D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1117599</xdr:colOff>
      <xdr:row>5</xdr:row>
      <xdr:rowOff>349249</xdr:rowOff>
    </xdr:from>
    <xdr:to>
      <xdr:col>11</xdr:col>
      <xdr:colOff>1065162</xdr:colOff>
      <xdr:row>19</xdr:row>
      <xdr:rowOff>81935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A072A35-BF40-F648-8A34-4C5F5005EC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122628</xdr:colOff>
      <xdr:row>28</xdr:row>
      <xdr:rowOff>54350</xdr:rowOff>
    </xdr:from>
    <xdr:to>
      <xdr:col>12</xdr:col>
      <xdr:colOff>266290</xdr:colOff>
      <xdr:row>48</xdr:row>
      <xdr:rowOff>225322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09C4D0A-CA0B-BD47-92AC-334955A50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345440</xdr:colOff>
      <xdr:row>55</xdr:row>
      <xdr:rowOff>104567</xdr:rowOff>
    </xdr:from>
    <xdr:to>
      <xdr:col>11</xdr:col>
      <xdr:colOff>1026160</xdr:colOff>
      <xdr:row>79</xdr:row>
      <xdr:rowOff>150215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10813F4F-76FF-504E-9930-9A732ACDA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135467</xdr:colOff>
      <xdr:row>87</xdr:row>
      <xdr:rowOff>135467</xdr:rowOff>
    </xdr:from>
    <xdr:to>
      <xdr:col>12</xdr:col>
      <xdr:colOff>166310</xdr:colOff>
      <xdr:row>109</xdr:row>
      <xdr:rowOff>181429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DAB518DE-093A-4B44-BD41-8186F6192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1117599</xdr:colOff>
      <xdr:row>6</xdr:row>
      <xdr:rowOff>349249</xdr:rowOff>
    </xdr:from>
    <xdr:to>
      <xdr:col>11</xdr:col>
      <xdr:colOff>1065162</xdr:colOff>
      <xdr:row>18</xdr:row>
      <xdr:rowOff>81935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F411373-551A-084D-83FD-C6BF5F46F0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135328</xdr:colOff>
      <xdr:row>27</xdr:row>
      <xdr:rowOff>257550</xdr:rowOff>
    </xdr:from>
    <xdr:to>
      <xdr:col>12</xdr:col>
      <xdr:colOff>278990</xdr:colOff>
      <xdr:row>48</xdr:row>
      <xdr:rowOff>199922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F698339-E658-2545-BF72-9C6B1F2D5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345440</xdr:colOff>
      <xdr:row>54</xdr:row>
      <xdr:rowOff>104567</xdr:rowOff>
    </xdr:from>
    <xdr:to>
      <xdr:col>11</xdr:col>
      <xdr:colOff>1026160</xdr:colOff>
      <xdr:row>78</xdr:row>
      <xdr:rowOff>150215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BEE5DF8-9825-AB40-BFED-68272107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850900</xdr:colOff>
      <xdr:row>86</xdr:row>
      <xdr:rowOff>135467</xdr:rowOff>
    </xdr:from>
    <xdr:to>
      <xdr:col>11</xdr:col>
      <xdr:colOff>381000</xdr:colOff>
      <xdr:row>107</xdr:row>
      <xdr:rowOff>135467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3BEB3656-DEB8-7245-B2EA-0C95BD60C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1117599</xdr:colOff>
      <xdr:row>6</xdr:row>
      <xdr:rowOff>349248</xdr:rowOff>
    </xdr:from>
    <xdr:to>
      <xdr:col>11</xdr:col>
      <xdr:colOff>1092200</xdr:colOff>
      <xdr:row>33</xdr:row>
      <xdr:rowOff>126999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41B7E99-AA59-7F41-AF61-08B10F367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135328</xdr:colOff>
      <xdr:row>38</xdr:row>
      <xdr:rowOff>257550</xdr:rowOff>
    </xdr:from>
    <xdr:to>
      <xdr:col>12</xdr:col>
      <xdr:colOff>278990</xdr:colOff>
      <xdr:row>59</xdr:row>
      <xdr:rowOff>199922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B360036-71BE-B642-A583-08E45BD41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345440</xdr:colOff>
      <xdr:row>65</xdr:row>
      <xdr:rowOff>104567</xdr:rowOff>
    </xdr:from>
    <xdr:to>
      <xdr:col>11</xdr:col>
      <xdr:colOff>1026160</xdr:colOff>
      <xdr:row>89</xdr:row>
      <xdr:rowOff>150215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96354490-53E9-4C47-A2EB-5D06916ED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850900</xdr:colOff>
      <xdr:row>98</xdr:row>
      <xdr:rowOff>135467</xdr:rowOff>
    </xdr:from>
    <xdr:to>
      <xdr:col>11</xdr:col>
      <xdr:colOff>381000</xdr:colOff>
      <xdr:row>119</xdr:row>
      <xdr:rowOff>135467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49298C63-DE30-1545-ABE5-E057AEF66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1117599</xdr:colOff>
      <xdr:row>5</xdr:row>
      <xdr:rowOff>349248</xdr:rowOff>
    </xdr:from>
    <xdr:to>
      <xdr:col>11</xdr:col>
      <xdr:colOff>1092200</xdr:colOff>
      <xdr:row>21</xdr:row>
      <xdr:rowOff>126999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915DAE6-7BCA-DB4D-BDFD-9882806C4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135328</xdr:colOff>
      <xdr:row>27</xdr:row>
      <xdr:rowOff>191370</xdr:rowOff>
    </xdr:from>
    <xdr:to>
      <xdr:col>12</xdr:col>
      <xdr:colOff>233563</xdr:colOff>
      <xdr:row>47</xdr:row>
      <xdr:rowOff>14599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2001FD8-AEE4-C24A-834F-6C77F5FC8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345440</xdr:colOff>
      <xdr:row>53</xdr:row>
      <xdr:rowOff>104567</xdr:rowOff>
    </xdr:from>
    <xdr:to>
      <xdr:col>11</xdr:col>
      <xdr:colOff>1026160</xdr:colOff>
      <xdr:row>77</xdr:row>
      <xdr:rowOff>150215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9147AD63-9585-8F4F-A1C5-2AE10B985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850900</xdr:colOff>
      <xdr:row>86</xdr:row>
      <xdr:rowOff>135467</xdr:rowOff>
    </xdr:from>
    <xdr:to>
      <xdr:col>11</xdr:col>
      <xdr:colOff>381000</xdr:colOff>
      <xdr:row>107</xdr:row>
      <xdr:rowOff>135467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B32CF766-DB5D-0D44-94D3-008E996CE6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1117599</xdr:colOff>
      <xdr:row>5</xdr:row>
      <xdr:rowOff>349248</xdr:rowOff>
    </xdr:from>
    <xdr:to>
      <xdr:col>12</xdr:col>
      <xdr:colOff>1092200</xdr:colOff>
      <xdr:row>21</xdr:row>
      <xdr:rowOff>126999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7C458-BCF9-F240-A9B0-AAF28C055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135328</xdr:colOff>
      <xdr:row>27</xdr:row>
      <xdr:rowOff>191370</xdr:rowOff>
    </xdr:from>
    <xdr:to>
      <xdr:col>13</xdr:col>
      <xdr:colOff>233563</xdr:colOff>
      <xdr:row>47</xdr:row>
      <xdr:rowOff>14599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067C761-55A6-D740-92D0-4B4D5E2B77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107658</xdr:colOff>
      <xdr:row>85</xdr:row>
      <xdr:rowOff>125909</xdr:rowOff>
    </xdr:from>
    <xdr:to>
      <xdr:col>14</xdr:col>
      <xdr:colOff>13955</xdr:colOff>
      <xdr:row>107</xdr:row>
      <xdr:rowOff>181428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DFF0098F-27EC-5542-997F-354AF6179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238347</xdr:colOff>
      <xdr:row>54</xdr:row>
      <xdr:rowOff>11316</xdr:rowOff>
    </xdr:from>
    <xdr:to>
      <xdr:col>14</xdr:col>
      <xdr:colOff>301872</xdr:colOff>
      <xdr:row>74</xdr:row>
      <xdr:rowOff>28864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BB1ECFE-51A6-144E-BA9D-1BCF87325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1117599</xdr:colOff>
      <xdr:row>6</xdr:row>
      <xdr:rowOff>349248</xdr:rowOff>
    </xdr:from>
    <xdr:to>
      <xdr:col>12</xdr:col>
      <xdr:colOff>1092200</xdr:colOff>
      <xdr:row>22</xdr:row>
      <xdr:rowOff>126999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28D45BF-E7F0-DA4C-9C21-2D419BCF6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135328</xdr:colOff>
      <xdr:row>28</xdr:row>
      <xdr:rowOff>191370</xdr:rowOff>
    </xdr:from>
    <xdr:to>
      <xdr:col>13</xdr:col>
      <xdr:colOff>233563</xdr:colOff>
      <xdr:row>48</xdr:row>
      <xdr:rowOff>14599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A473622-7D2D-6347-9BF6-B4A2B62AF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107658</xdr:colOff>
      <xdr:row>86</xdr:row>
      <xdr:rowOff>125909</xdr:rowOff>
    </xdr:from>
    <xdr:to>
      <xdr:col>14</xdr:col>
      <xdr:colOff>13955</xdr:colOff>
      <xdr:row>108</xdr:row>
      <xdr:rowOff>181428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4C295B0-121E-BF44-97C5-A1DF149EF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238347</xdr:colOff>
      <xdr:row>55</xdr:row>
      <xdr:rowOff>11316</xdr:rowOff>
    </xdr:from>
    <xdr:to>
      <xdr:col>14</xdr:col>
      <xdr:colOff>301872</xdr:colOff>
      <xdr:row>75</xdr:row>
      <xdr:rowOff>28864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ABC52288-F6E1-4941-9EF2-C1C50BC1A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1117599</xdr:colOff>
      <xdr:row>6</xdr:row>
      <xdr:rowOff>349248</xdr:rowOff>
    </xdr:from>
    <xdr:to>
      <xdr:col>12</xdr:col>
      <xdr:colOff>1092200</xdr:colOff>
      <xdr:row>22</xdr:row>
      <xdr:rowOff>126999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42BBE0E-8E70-D840-A546-32ADA5965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135328</xdr:colOff>
      <xdr:row>28</xdr:row>
      <xdr:rowOff>191370</xdr:rowOff>
    </xdr:from>
    <xdr:to>
      <xdr:col>13</xdr:col>
      <xdr:colOff>233563</xdr:colOff>
      <xdr:row>48</xdr:row>
      <xdr:rowOff>14599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C7C2DDE-DBB0-D242-A53D-517EA7F4C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107658</xdr:colOff>
      <xdr:row>86</xdr:row>
      <xdr:rowOff>125909</xdr:rowOff>
    </xdr:from>
    <xdr:to>
      <xdr:col>14</xdr:col>
      <xdr:colOff>13955</xdr:colOff>
      <xdr:row>108</xdr:row>
      <xdr:rowOff>181428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F512D8B9-41BD-5D4D-9D5F-78B849E74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238347</xdr:colOff>
      <xdr:row>55</xdr:row>
      <xdr:rowOff>11316</xdr:rowOff>
    </xdr:from>
    <xdr:to>
      <xdr:col>14</xdr:col>
      <xdr:colOff>301872</xdr:colOff>
      <xdr:row>75</xdr:row>
      <xdr:rowOff>28864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F1340FE0-7E6F-7C49-A4A2-311EFA324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1117599</xdr:colOff>
      <xdr:row>6</xdr:row>
      <xdr:rowOff>349248</xdr:rowOff>
    </xdr:from>
    <xdr:to>
      <xdr:col>12</xdr:col>
      <xdr:colOff>1092200</xdr:colOff>
      <xdr:row>22</xdr:row>
      <xdr:rowOff>126999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A1DB51B-98E4-564A-B2E0-31186CBF8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135328</xdr:colOff>
      <xdr:row>28</xdr:row>
      <xdr:rowOff>191370</xdr:rowOff>
    </xdr:from>
    <xdr:to>
      <xdr:col>13</xdr:col>
      <xdr:colOff>233563</xdr:colOff>
      <xdr:row>48</xdr:row>
      <xdr:rowOff>14599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A8D2739-80AA-5246-B5DD-784047B51A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107658</xdr:colOff>
      <xdr:row>86</xdr:row>
      <xdr:rowOff>125909</xdr:rowOff>
    </xdr:from>
    <xdr:to>
      <xdr:col>14</xdr:col>
      <xdr:colOff>13955</xdr:colOff>
      <xdr:row>108</xdr:row>
      <xdr:rowOff>181428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425411E-A961-5144-AC0F-761ED90DB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238347</xdr:colOff>
      <xdr:row>55</xdr:row>
      <xdr:rowOff>11316</xdr:rowOff>
    </xdr:from>
    <xdr:to>
      <xdr:col>14</xdr:col>
      <xdr:colOff>301872</xdr:colOff>
      <xdr:row>75</xdr:row>
      <xdr:rowOff>28864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E979372-0727-DF4D-8960-22B0BA941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4194B-58B6-9241-8B51-716078682DF5}">
  <dimension ref="A1:S129"/>
  <sheetViews>
    <sheetView zoomScale="75" zoomScaleNormal="80" workbookViewId="0">
      <selection activeCell="E56" sqref="E56"/>
    </sheetView>
  </sheetViews>
  <sheetFormatPr baseColWidth="10" defaultRowHeight="16"/>
  <cols>
    <col min="1" max="1" width="45.6640625" customWidth="1"/>
    <col min="2" max="2" width="13.83203125" customWidth="1"/>
    <col min="3" max="3" width="20" customWidth="1"/>
    <col min="4" max="5" width="13.83203125" customWidth="1"/>
    <col min="6" max="6" width="15.33203125" customWidth="1"/>
    <col min="7" max="7" width="14.6640625" customWidth="1"/>
    <col min="8" max="8" width="23.5" customWidth="1"/>
    <col min="9" max="10" width="15.1640625" customWidth="1"/>
    <col min="11" max="11" width="19.5" customWidth="1"/>
    <col min="12" max="13" width="15.1640625" customWidth="1"/>
  </cols>
  <sheetData>
    <row r="1" spans="1:14" ht="24">
      <c r="A1" s="235" t="s">
        <v>50</v>
      </c>
      <c r="B1" s="235"/>
      <c r="C1" s="235"/>
      <c r="D1" s="235"/>
      <c r="H1" s="211" t="s">
        <v>121</v>
      </c>
      <c r="I1" s="21" t="s">
        <v>43</v>
      </c>
      <c r="J1" s="21" t="s">
        <v>42</v>
      </c>
      <c r="K1" s="214" t="s">
        <v>118</v>
      </c>
      <c r="L1" s="215"/>
      <c r="M1" s="215"/>
    </row>
    <row r="2" spans="1:14" ht="45" customHeight="1">
      <c r="A2" s="24" t="s">
        <v>30</v>
      </c>
      <c r="B2" s="24" t="s">
        <v>51</v>
      </c>
      <c r="C2" s="24" t="s">
        <v>6</v>
      </c>
      <c r="D2" s="24" t="s">
        <v>7</v>
      </c>
      <c r="E2" s="24" t="s">
        <v>27</v>
      </c>
      <c r="F2" s="32" t="s">
        <v>66</v>
      </c>
      <c r="G2" s="1"/>
      <c r="H2" s="210" t="s">
        <v>15</v>
      </c>
      <c r="I2" s="211">
        <f>I3/M3</f>
        <v>0</v>
      </c>
      <c r="J2" s="212">
        <f>J3/M3</f>
        <v>5.185185185185185E-2</v>
      </c>
      <c r="K2" s="212">
        <f>K3/M3</f>
        <v>0.94814814814814818</v>
      </c>
      <c r="L2" s="212"/>
      <c r="M2" s="213">
        <f>I2+J2+K2+L2</f>
        <v>1</v>
      </c>
    </row>
    <row r="3" spans="1:14" ht="30" customHeight="1">
      <c r="A3" s="110" t="s">
        <v>2</v>
      </c>
      <c r="B3" s="21" t="s">
        <v>52</v>
      </c>
      <c r="C3" s="21">
        <v>8</v>
      </c>
      <c r="D3" s="21">
        <v>4</v>
      </c>
      <c r="E3" s="93" t="s">
        <v>28</v>
      </c>
      <c r="F3" s="23">
        <v>1</v>
      </c>
      <c r="G3" s="1"/>
      <c r="I3" s="208">
        <f>B35</f>
        <v>0</v>
      </c>
      <c r="J3" s="208">
        <f>C35</f>
        <v>7</v>
      </c>
      <c r="K3" s="208">
        <f>D35+E35</f>
        <v>128</v>
      </c>
      <c r="L3" s="209"/>
      <c r="M3" s="209">
        <f>J3+K3+L3</f>
        <v>135</v>
      </c>
    </row>
    <row r="4" spans="1:14" ht="30" customHeight="1">
      <c r="A4" s="109" t="s">
        <v>5</v>
      </c>
      <c r="B4" s="21" t="s">
        <v>52</v>
      </c>
      <c r="C4" s="22">
        <v>7</v>
      </c>
      <c r="D4" s="22">
        <v>4</v>
      </c>
      <c r="E4" s="94" t="s">
        <v>28</v>
      </c>
      <c r="F4" s="23">
        <v>1</v>
      </c>
      <c r="G4" s="1"/>
      <c r="N4" s="81"/>
    </row>
    <row r="5" spans="1:14" ht="30" customHeight="1">
      <c r="A5" s="110" t="s">
        <v>77</v>
      </c>
      <c r="B5" s="21" t="s">
        <v>57</v>
      </c>
      <c r="C5" s="21">
        <v>9</v>
      </c>
      <c r="D5" s="21">
        <v>8</v>
      </c>
      <c r="E5" s="93" t="s">
        <v>28</v>
      </c>
      <c r="F5" s="23">
        <v>1</v>
      </c>
      <c r="G5" s="1"/>
      <c r="H5" s="206"/>
      <c r="I5" s="197"/>
      <c r="J5" s="197"/>
      <c r="K5" s="197"/>
      <c r="L5" s="197"/>
    </row>
    <row r="6" spans="1:14" ht="30" customHeight="1">
      <c r="A6" s="110" t="s">
        <v>78</v>
      </c>
      <c r="B6" s="21" t="s">
        <v>57</v>
      </c>
      <c r="C6" s="22">
        <v>9</v>
      </c>
      <c r="D6" s="22">
        <v>9</v>
      </c>
      <c r="E6" s="94" t="s">
        <v>28</v>
      </c>
      <c r="F6" s="23">
        <v>1</v>
      </c>
      <c r="G6" s="1"/>
      <c r="H6" s="206"/>
      <c r="I6" s="197"/>
      <c r="J6" s="197"/>
      <c r="K6" s="197"/>
      <c r="L6" s="197"/>
      <c r="M6" s="197"/>
    </row>
    <row r="7" spans="1:14" ht="30" customHeight="1">
      <c r="A7" s="112" t="s">
        <v>79</v>
      </c>
      <c r="B7" s="21" t="s">
        <v>57</v>
      </c>
      <c r="C7" s="23">
        <v>18</v>
      </c>
      <c r="D7" s="23">
        <v>15</v>
      </c>
      <c r="E7" s="95" t="s">
        <v>28</v>
      </c>
      <c r="F7" s="23">
        <v>1</v>
      </c>
      <c r="G7" s="1"/>
    </row>
    <row r="8" spans="1:14" ht="30" customHeight="1">
      <c r="A8" s="113" t="s">
        <v>80</v>
      </c>
      <c r="B8" s="21" t="s">
        <v>57</v>
      </c>
      <c r="C8" s="107">
        <v>9</v>
      </c>
      <c r="D8" s="23">
        <v>9</v>
      </c>
      <c r="E8" s="95" t="s">
        <v>28</v>
      </c>
      <c r="F8" s="23">
        <v>1</v>
      </c>
      <c r="G8" s="1"/>
    </row>
    <row r="9" spans="1:14" ht="30" customHeight="1">
      <c r="A9" s="113" t="s">
        <v>81</v>
      </c>
      <c r="B9" s="21" t="s">
        <v>82</v>
      </c>
      <c r="C9" s="107">
        <v>9</v>
      </c>
      <c r="D9" s="23">
        <v>9</v>
      </c>
      <c r="E9" s="95" t="s">
        <v>28</v>
      </c>
      <c r="F9" s="23">
        <v>1</v>
      </c>
      <c r="G9" s="1"/>
    </row>
    <row r="10" spans="1:14" ht="30" customHeight="1">
      <c r="A10" s="113" t="s">
        <v>126</v>
      </c>
      <c r="B10" s="21" t="s">
        <v>117</v>
      </c>
      <c r="C10" s="107">
        <v>5</v>
      </c>
      <c r="D10" s="23">
        <v>5</v>
      </c>
      <c r="E10" s="95" t="s">
        <v>28</v>
      </c>
      <c r="F10" s="23">
        <v>1</v>
      </c>
      <c r="G10" s="1"/>
    </row>
    <row r="11" spans="1:14" ht="30" customHeight="1">
      <c r="A11" s="113" t="s">
        <v>146</v>
      </c>
      <c r="B11" s="21" t="s">
        <v>57</v>
      </c>
      <c r="C11" s="107">
        <v>5</v>
      </c>
      <c r="D11" s="23">
        <v>4</v>
      </c>
      <c r="E11" s="95" t="s">
        <v>28</v>
      </c>
      <c r="F11" s="23">
        <v>1</v>
      </c>
      <c r="G11" s="1"/>
    </row>
    <row r="12" spans="1:14" ht="30" customHeight="1">
      <c r="A12" s="113" t="s">
        <v>147</v>
      </c>
      <c r="B12" s="21" t="s">
        <v>57</v>
      </c>
      <c r="C12" s="107">
        <v>7</v>
      </c>
      <c r="D12" s="23">
        <v>7</v>
      </c>
      <c r="E12" s="95" t="s">
        <v>28</v>
      </c>
      <c r="F12" s="23">
        <v>1</v>
      </c>
      <c r="G12" s="1"/>
    </row>
    <row r="13" spans="1:14" ht="30" customHeight="1">
      <c r="A13" s="113" t="s">
        <v>148</v>
      </c>
      <c r="B13" s="21" t="s">
        <v>57</v>
      </c>
      <c r="C13" s="107">
        <v>7</v>
      </c>
      <c r="D13" s="23">
        <v>7</v>
      </c>
      <c r="E13" s="95" t="s">
        <v>28</v>
      </c>
      <c r="F13" s="23">
        <v>1</v>
      </c>
      <c r="G13" s="1"/>
    </row>
    <row r="14" spans="1:14" ht="30" customHeight="1">
      <c r="A14" s="113" t="s">
        <v>156</v>
      </c>
      <c r="B14" s="21" t="s">
        <v>57</v>
      </c>
      <c r="C14" s="107">
        <v>16</v>
      </c>
      <c r="D14" s="23">
        <v>16</v>
      </c>
      <c r="E14" s="95" t="s">
        <v>28</v>
      </c>
      <c r="F14" s="23">
        <v>1</v>
      </c>
      <c r="G14" s="1"/>
    </row>
    <row r="15" spans="1:14" ht="30" customHeight="1">
      <c r="A15" s="113" t="s">
        <v>154</v>
      </c>
      <c r="B15" s="21" t="s">
        <v>57</v>
      </c>
      <c r="C15" s="107">
        <v>6</v>
      </c>
      <c r="D15" s="23">
        <v>6</v>
      </c>
      <c r="E15" s="95" t="s">
        <v>28</v>
      </c>
      <c r="F15" s="23">
        <v>1</v>
      </c>
      <c r="G15" s="1"/>
    </row>
    <row r="16" spans="1:14" ht="30" customHeight="1">
      <c r="A16" s="113" t="s">
        <v>159</v>
      </c>
      <c r="B16" s="21" t="s">
        <v>117</v>
      </c>
      <c r="C16" s="107">
        <v>9</v>
      </c>
      <c r="D16" s="23">
        <v>9</v>
      </c>
      <c r="E16" s="95" t="s">
        <v>28</v>
      </c>
      <c r="F16" s="23">
        <v>1</v>
      </c>
      <c r="G16" s="1"/>
    </row>
    <row r="17" spans="1:19" ht="30" customHeight="1">
      <c r="A17" s="113" t="s">
        <v>162</v>
      </c>
      <c r="B17" s="21" t="s">
        <v>57</v>
      </c>
      <c r="C17" s="107">
        <v>8</v>
      </c>
      <c r="D17" s="107">
        <v>4</v>
      </c>
      <c r="E17" s="95" t="s">
        <v>28</v>
      </c>
      <c r="F17" s="23">
        <v>1</v>
      </c>
      <c r="G17" s="1"/>
    </row>
    <row r="18" spans="1:19" ht="30" customHeight="1">
      <c r="A18" s="113" t="s">
        <v>168</v>
      </c>
      <c r="B18" s="21" t="s">
        <v>117</v>
      </c>
      <c r="C18" s="107">
        <v>10</v>
      </c>
      <c r="D18" s="107">
        <v>9</v>
      </c>
      <c r="E18" s="95" t="s">
        <v>28</v>
      </c>
      <c r="F18" s="23">
        <v>1</v>
      </c>
      <c r="G18" s="1"/>
    </row>
    <row r="19" spans="1:19" ht="30" customHeight="1">
      <c r="A19" s="113" t="s">
        <v>189</v>
      </c>
      <c r="B19" s="21" t="s">
        <v>57</v>
      </c>
      <c r="C19" s="107">
        <v>11</v>
      </c>
      <c r="D19" s="107">
        <v>10</v>
      </c>
      <c r="E19" s="95" t="s">
        <v>28</v>
      </c>
      <c r="F19" s="23">
        <v>1</v>
      </c>
      <c r="G19" s="1"/>
    </row>
    <row r="20" spans="1:19" ht="30" customHeight="1">
      <c r="A20" s="113"/>
      <c r="B20" s="21"/>
      <c r="C20" s="107"/>
      <c r="D20" s="107"/>
      <c r="E20" s="224"/>
      <c r="F20" s="107"/>
      <c r="G20" s="1"/>
    </row>
    <row r="21" spans="1:19" ht="30" customHeight="1">
      <c r="A21" s="113"/>
      <c r="B21" s="21"/>
      <c r="C21" s="107"/>
      <c r="D21" s="107"/>
      <c r="E21" s="224"/>
      <c r="F21" s="107"/>
      <c r="G21" s="1"/>
    </row>
    <row r="22" spans="1:19" ht="30" customHeight="1">
      <c r="A22" s="117" t="s">
        <v>29</v>
      </c>
      <c r="B22" s="118"/>
      <c r="C22" s="119">
        <f>(C3+C4+C5+C6+C7+C8+C9+C10+C11+C12+C13+C14+C15+C16+C17+C18+C20+C21+C19)</f>
        <v>153</v>
      </c>
      <c r="D22" s="119">
        <f>(D3+D4+D5+D6+D7+D8+D9+D10+D11+D12+D13+D14+D15+D16+D17+D18+D20+D21+D19)</f>
        <v>135</v>
      </c>
      <c r="E22" s="119"/>
      <c r="F22" s="119">
        <f>(F3+F4+F5+F6+F7+F8+F9+F10+F11+F12+F13+F14+F15+F16+F17+F18+F20+F21+F19)</f>
        <v>17</v>
      </c>
      <c r="G22" s="1"/>
    </row>
    <row r="23" spans="1:19" ht="30" customHeight="1" thickBot="1">
      <c r="A23" s="1"/>
      <c r="B23" s="1"/>
      <c r="C23" s="1"/>
      <c r="D23" s="1"/>
      <c r="E23" s="1"/>
      <c r="F23" s="1"/>
      <c r="G23" s="1"/>
    </row>
    <row r="24" spans="1:19" ht="30" customHeight="1" thickBot="1">
      <c r="A24" s="2"/>
      <c r="B24" s="3">
        <v>0</v>
      </c>
      <c r="C24" s="4">
        <v>1</v>
      </c>
      <c r="D24" s="5">
        <v>2</v>
      </c>
      <c r="E24" s="6">
        <v>3</v>
      </c>
      <c r="F24" s="18" t="s">
        <v>29</v>
      </c>
      <c r="G24" s="1"/>
      <c r="S24" s="81"/>
    </row>
    <row r="25" spans="1:19" ht="22" customHeight="1" thickBot="1">
      <c r="A25" s="7" t="s">
        <v>8</v>
      </c>
      <c r="B25" s="28"/>
      <c r="C25" s="28">
        <f>1+2+2+1</f>
        <v>6</v>
      </c>
      <c r="D25" s="28">
        <f>1+9+3+2+2+4+2+2+6</f>
        <v>31</v>
      </c>
      <c r="E25" s="28">
        <f>6+4+6+9+3+2+5+2+7+3</f>
        <v>47</v>
      </c>
      <c r="F25" s="20">
        <f t="shared" ref="F25:F55" si="0">B25+C25+D25+E25</f>
        <v>84</v>
      </c>
      <c r="G25" s="1"/>
      <c r="R25" s="206"/>
      <c r="S25" s="197"/>
    </row>
    <row r="26" spans="1:19" ht="22" customHeight="1" thickBot="1">
      <c r="A26" s="7" t="s">
        <v>76</v>
      </c>
      <c r="B26" s="28"/>
      <c r="C26" s="28">
        <f>2+1+3</f>
        <v>6</v>
      </c>
      <c r="D26" s="28">
        <f>2+3+5+1+4+6</f>
        <v>21</v>
      </c>
      <c r="E26" s="28">
        <f>6+4+1+3+10</f>
        <v>24</v>
      </c>
      <c r="F26" s="20">
        <f t="shared" si="0"/>
        <v>51</v>
      </c>
      <c r="G26" s="1"/>
      <c r="H26" s="211" t="s">
        <v>121</v>
      </c>
      <c r="I26" s="21" t="s">
        <v>43</v>
      </c>
      <c r="J26" s="21" t="s">
        <v>42</v>
      </c>
      <c r="K26" s="214" t="s">
        <v>118</v>
      </c>
      <c r="L26" s="215"/>
      <c r="M26" s="215"/>
    </row>
    <row r="27" spans="1:19" ht="22" customHeight="1" thickBot="1">
      <c r="A27" s="8" t="s">
        <v>9</v>
      </c>
      <c r="B27" s="29"/>
      <c r="C27" s="29">
        <f>3+1</f>
        <v>4</v>
      </c>
      <c r="D27" s="29">
        <f>2+3+3+7+3+1+1+3+1+3+1+5+1+1</f>
        <v>35</v>
      </c>
      <c r="E27" s="29">
        <f>6+5+6+8+3+8+4+4+3+3+5+11+8+4+9+9</f>
        <v>96</v>
      </c>
      <c r="F27" s="20">
        <f t="shared" si="0"/>
        <v>135</v>
      </c>
      <c r="G27" s="1"/>
      <c r="H27" s="210" t="s">
        <v>16</v>
      </c>
      <c r="I27" s="211">
        <f>I28/M28</f>
        <v>0</v>
      </c>
      <c r="J27" s="212">
        <f>J28/M28</f>
        <v>5.9259259259259262E-2</v>
      </c>
      <c r="K27" s="212">
        <f>K28/M28</f>
        <v>0.94074074074074077</v>
      </c>
      <c r="L27" s="212"/>
      <c r="M27" s="213">
        <f>I27+J27+K27+L27</f>
        <v>1</v>
      </c>
    </row>
    <row r="28" spans="1:19" ht="22" customHeight="1" thickBot="1">
      <c r="A28" s="9" t="s">
        <v>10</v>
      </c>
      <c r="B28" s="25"/>
      <c r="C28" s="25">
        <f>1</f>
        <v>1</v>
      </c>
      <c r="D28" s="25">
        <f>2+5+6+5+2+1+2+1+3+4+1+1</f>
        <v>33</v>
      </c>
      <c r="E28" s="25">
        <f>8+6+4+9+4+7+4+4+3+4+6+12+8+4+9+9</f>
        <v>101</v>
      </c>
      <c r="F28" s="20">
        <f t="shared" si="0"/>
        <v>135</v>
      </c>
      <c r="G28" s="1"/>
      <c r="I28" s="208">
        <f>B36</f>
        <v>0</v>
      </c>
      <c r="J28" s="208">
        <f>C36</f>
        <v>8</v>
      </c>
      <c r="K28" s="208">
        <f>D36+E36</f>
        <v>127</v>
      </c>
      <c r="L28" s="209"/>
      <c r="M28" s="209">
        <f>J28+K28+L28</f>
        <v>135</v>
      </c>
      <c r="N28" s="81"/>
    </row>
    <row r="29" spans="1:19" ht="22" customHeight="1" thickBot="1">
      <c r="A29" s="10" t="s">
        <v>11</v>
      </c>
      <c r="B29" s="27"/>
      <c r="C29" s="27">
        <f>1</f>
        <v>1</v>
      </c>
      <c r="D29" s="27">
        <f>2+1+3+4+4+1+2+2+1+2+1+5+1+3</f>
        <v>32</v>
      </c>
      <c r="E29" s="27">
        <f>6+7+6+10+5+8+3+5+3+5+5+11+8+4+9+7</f>
        <v>102</v>
      </c>
      <c r="F29" s="20">
        <f t="shared" si="0"/>
        <v>135</v>
      </c>
      <c r="H29" s="206"/>
      <c r="I29" s="197"/>
      <c r="J29" s="197"/>
      <c r="K29" s="197"/>
      <c r="L29" s="197"/>
      <c r="M29" s="197"/>
    </row>
    <row r="30" spans="1:19" ht="10" customHeight="1">
      <c r="A30" s="14"/>
      <c r="B30" s="231"/>
      <c r="C30" s="231"/>
      <c r="D30" s="231"/>
      <c r="E30" s="231"/>
      <c r="F30" s="231"/>
      <c r="H30" s="206"/>
    </row>
    <row r="31" spans="1:19" ht="4" customHeight="1">
      <c r="A31" s="14"/>
      <c r="B31" s="232"/>
      <c r="C31" s="232"/>
      <c r="D31" s="232"/>
      <c r="E31" s="232"/>
      <c r="F31" s="232"/>
      <c r="H31" s="206"/>
    </row>
    <row r="32" spans="1:19" ht="16" customHeight="1">
      <c r="A32" s="15" t="s">
        <v>12</v>
      </c>
      <c r="B32" s="232"/>
      <c r="C32" s="232"/>
      <c r="D32" s="232"/>
      <c r="E32" s="232"/>
      <c r="F32" s="232"/>
    </row>
    <row r="33" spans="1:6" ht="11" customHeight="1" thickBot="1">
      <c r="A33" s="16" t="s">
        <v>13</v>
      </c>
      <c r="B33" s="233"/>
      <c r="C33" s="233"/>
      <c r="D33" s="233"/>
      <c r="E33" s="233"/>
      <c r="F33" s="233"/>
    </row>
    <row r="34" spans="1:6" ht="22" customHeight="1" thickBot="1">
      <c r="A34" s="10" t="s">
        <v>14</v>
      </c>
      <c r="B34" s="27"/>
      <c r="C34" s="27">
        <f>3+1+3+2+3+1</f>
        <v>13</v>
      </c>
      <c r="D34" s="27">
        <f>1+3+1+5+3+2+2+2+3+1+1+2</f>
        <v>26</v>
      </c>
      <c r="E34" s="27">
        <f>7+2+7+7+6+9+3+3+4+2+6+12+9+3+8+8</f>
        <v>96</v>
      </c>
      <c r="F34" s="20">
        <f t="shared" si="0"/>
        <v>135</v>
      </c>
    </row>
    <row r="35" spans="1:6" ht="22" customHeight="1" thickBot="1">
      <c r="A35" s="9" t="s">
        <v>15</v>
      </c>
      <c r="B35" s="25"/>
      <c r="C35" s="25">
        <f>1+1+2+2+1</f>
        <v>7</v>
      </c>
      <c r="D35" s="25">
        <f>2+6+5+7+2+1+3+2+1+1+3+1+2</f>
        <v>36</v>
      </c>
      <c r="E35" s="25">
        <f>6+1+3+6+7+9+4+4+2+4+4+10+9+4+3+8+8</f>
        <v>92</v>
      </c>
      <c r="F35" s="20">
        <f>B35+C35+D35+E35</f>
        <v>135</v>
      </c>
    </row>
    <row r="36" spans="1:6" ht="22" customHeight="1" thickBot="1">
      <c r="A36" s="10" t="s">
        <v>16</v>
      </c>
      <c r="B36" s="27"/>
      <c r="C36" s="27">
        <f>2+1+1+1+3</f>
        <v>8</v>
      </c>
      <c r="D36" s="27">
        <f>2+5+2+9+3+2+1+2+2+1+3+1+1+1+1</f>
        <v>36</v>
      </c>
      <c r="E36" s="27">
        <f>6+1+6+5+5+7+4+5+2+3+6+13+8+3+8+9</f>
        <v>91</v>
      </c>
      <c r="F36" s="20">
        <f t="shared" si="0"/>
        <v>135</v>
      </c>
    </row>
    <row r="37" spans="1:6" ht="22" customHeight="1" thickBot="1">
      <c r="A37" s="9" t="s">
        <v>17</v>
      </c>
      <c r="B37" s="25"/>
      <c r="C37" s="25">
        <f>1+2+2+1</f>
        <v>6</v>
      </c>
      <c r="D37" s="25">
        <f>2+6+4+7+4+1+4+2+3+1+6+1+2+1+1</f>
        <v>45</v>
      </c>
      <c r="E37" s="25">
        <f>6+1+5+6+3+9+4+3+2+4+5+10+5+4+8+9</f>
        <v>84</v>
      </c>
      <c r="F37" s="20">
        <f t="shared" si="0"/>
        <v>135</v>
      </c>
    </row>
    <row r="38" spans="1:6" ht="22" customHeight="1" thickBot="1">
      <c r="A38" s="9" t="s">
        <v>18</v>
      </c>
      <c r="B38" s="25">
        <f>1</f>
        <v>1</v>
      </c>
      <c r="C38" s="25">
        <f>1+2+1+2</f>
        <v>6</v>
      </c>
      <c r="D38" s="25">
        <f>1+6+4+5+10+2+1+1+1+2+4+1+6+3+1+2</f>
        <v>50</v>
      </c>
      <c r="E38" s="25">
        <f>7+2+4+5+8+4+4+2+3+5+10+4+4+8+8</f>
        <v>78</v>
      </c>
      <c r="F38" s="20">
        <f t="shared" si="0"/>
        <v>135</v>
      </c>
    </row>
    <row r="39" spans="1:6" ht="7" customHeight="1">
      <c r="A39" s="14"/>
      <c r="B39" s="234"/>
      <c r="C39" s="234"/>
      <c r="D39" s="234"/>
      <c r="E39" s="234"/>
      <c r="F39" s="234"/>
    </row>
    <row r="40" spans="1:6" ht="5" customHeight="1">
      <c r="A40" s="14"/>
      <c r="B40" s="232"/>
      <c r="C40" s="232"/>
      <c r="D40" s="232"/>
      <c r="E40" s="232"/>
      <c r="F40" s="232"/>
    </row>
    <row r="41" spans="1:6" ht="21" customHeight="1">
      <c r="A41" s="15" t="s">
        <v>19</v>
      </c>
      <c r="B41" s="232"/>
      <c r="C41" s="232"/>
      <c r="D41" s="232"/>
      <c r="E41" s="232"/>
      <c r="F41" s="232"/>
    </row>
    <row r="42" spans="1:6" ht="10" customHeight="1" thickBot="1">
      <c r="A42" s="16" t="s">
        <v>20</v>
      </c>
      <c r="B42" s="233"/>
      <c r="C42" s="233"/>
      <c r="D42" s="233"/>
      <c r="E42" s="233"/>
      <c r="F42" s="233"/>
    </row>
    <row r="43" spans="1:6" ht="23" customHeight="1" thickBot="1">
      <c r="A43" s="9" t="s">
        <v>21</v>
      </c>
      <c r="B43" s="25"/>
      <c r="C43" s="25">
        <f>1</f>
        <v>1</v>
      </c>
      <c r="D43" s="25">
        <f>1+3+3+1+1+1+2+2</f>
        <v>14</v>
      </c>
      <c r="E43" s="25">
        <f>8+8+8+12+6+8+5+5+4+6+6+14+9+4+9+8</f>
        <v>120</v>
      </c>
      <c r="F43" s="20">
        <f t="shared" si="0"/>
        <v>135</v>
      </c>
    </row>
    <row r="44" spans="1:6" ht="23" customHeight="1" thickBot="1">
      <c r="A44" s="11" t="s">
        <v>22</v>
      </c>
      <c r="B44" s="25"/>
      <c r="C44" s="25"/>
      <c r="D44" s="25">
        <f>1+1+2+3+2+1+1+1+2+1</f>
        <v>15</v>
      </c>
      <c r="E44" s="25">
        <f>7+7+7+12+7+8+5+6+4+6+6+14+9+4+9+9</f>
        <v>120</v>
      </c>
      <c r="F44" s="19">
        <f t="shared" si="0"/>
        <v>135</v>
      </c>
    </row>
    <row r="45" spans="1:6" ht="23" customHeight="1" thickBot="1">
      <c r="A45" s="12" t="s">
        <v>23</v>
      </c>
      <c r="B45" s="26"/>
      <c r="C45" s="26"/>
      <c r="D45" s="26">
        <f>3+2+8+3+1+1+1+1+5+1+2</f>
        <v>28</v>
      </c>
      <c r="E45" s="25">
        <f>5+8+7+7+6+8+5+6+3+6+6+11+8+4+9+8</f>
        <v>107</v>
      </c>
      <c r="F45" s="20">
        <f t="shared" si="0"/>
        <v>135</v>
      </c>
    </row>
    <row r="46" spans="1:6" ht="9" customHeight="1">
      <c r="A46" s="13"/>
      <c r="B46" s="231"/>
      <c r="C46" s="231"/>
      <c r="D46" s="231"/>
      <c r="E46" s="231"/>
      <c r="F46" s="234"/>
    </row>
    <row r="47" spans="1:6" ht="4" customHeight="1">
      <c r="A47" s="14"/>
      <c r="B47" s="232"/>
      <c r="C47" s="232"/>
      <c r="D47" s="232"/>
      <c r="E47" s="232"/>
      <c r="F47" s="232"/>
    </row>
    <row r="48" spans="1:6" ht="21" customHeight="1">
      <c r="A48" s="15" t="s">
        <v>24</v>
      </c>
      <c r="B48" s="232"/>
      <c r="C48" s="232"/>
      <c r="D48" s="232"/>
      <c r="E48" s="232"/>
      <c r="F48" s="232"/>
    </row>
    <row r="49" spans="1:19" ht="9" customHeight="1" thickBot="1">
      <c r="A49" s="16" t="s">
        <v>20</v>
      </c>
      <c r="B49" s="233"/>
      <c r="C49" s="233"/>
      <c r="D49" s="233"/>
      <c r="E49" s="233"/>
      <c r="F49" s="233"/>
    </row>
    <row r="50" spans="1:19" ht="23" customHeight="1" thickBot="1">
      <c r="A50" s="9" t="s">
        <v>25</v>
      </c>
      <c r="B50" s="25">
        <f>1</f>
        <v>1</v>
      </c>
      <c r="C50" s="25">
        <f>2</f>
        <v>2</v>
      </c>
      <c r="D50" s="25">
        <f>2+6+1+1+1+2+5+3</f>
        <v>21</v>
      </c>
      <c r="E50" s="25">
        <f>8+8+7+9+8+9+5+4+3+5+5+11+9+4+9+7</f>
        <v>111</v>
      </c>
      <c r="F50" s="19">
        <f t="shared" si="0"/>
        <v>135</v>
      </c>
    </row>
    <row r="51" spans="1:19" ht="23" customHeight="1">
      <c r="A51" s="99" t="s">
        <v>59</v>
      </c>
      <c r="B51" s="100"/>
      <c r="C51" s="100"/>
      <c r="D51" s="100">
        <f>1+2+1</f>
        <v>4</v>
      </c>
      <c r="E51" s="100">
        <f>8+4+7+8</f>
        <v>27</v>
      </c>
      <c r="F51" s="101">
        <f t="shared" si="0"/>
        <v>31</v>
      </c>
      <c r="S51" s="81"/>
    </row>
    <row r="52" spans="1:19" ht="36" customHeight="1" thickBot="1">
      <c r="A52" s="11" t="s">
        <v>62</v>
      </c>
      <c r="B52" s="25">
        <f>2</f>
        <v>2</v>
      </c>
      <c r="C52" s="25">
        <f>1+1+3+1+2+4</f>
        <v>12</v>
      </c>
      <c r="D52" s="25">
        <f>7+10+4+3+2+1+2+5+2+5</f>
        <v>41</v>
      </c>
      <c r="E52" s="25">
        <f>7+1+5+5+6+2+2+5+2+7+2+5</f>
        <v>49</v>
      </c>
      <c r="F52" s="88">
        <f t="shared" si="0"/>
        <v>104</v>
      </c>
      <c r="R52" s="206"/>
      <c r="S52" s="197"/>
    </row>
    <row r="53" spans="1:19" ht="23" customHeight="1" thickBot="1">
      <c r="A53" s="103" t="s">
        <v>60</v>
      </c>
      <c r="B53" s="26"/>
      <c r="C53" s="104"/>
      <c r="D53" s="29">
        <f>1+1+1+2</f>
        <v>5</v>
      </c>
      <c r="E53" s="105">
        <f>7+4+8+7</f>
        <v>26</v>
      </c>
      <c r="F53" s="106">
        <f t="shared" si="0"/>
        <v>31</v>
      </c>
      <c r="H53" s="211" t="s">
        <v>121</v>
      </c>
      <c r="I53" s="21" t="s">
        <v>43</v>
      </c>
      <c r="J53" s="21" t="s">
        <v>42</v>
      </c>
      <c r="K53" s="214" t="s">
        <v>118</v>
      </c>
      <c r="L53" s="215"/>
      <c r="M53" s="215"/>
    </row>
    <row r="54" spans="1:19" ht="25" customHeight="1" thickBot="1">
      <c r="A54" s="11" t="s">
        <v>61</v>
      </c>
      <c r="B54" s="102"/>
      <c r="C54" s="25">
        <f>1+2</f>
        <v>3</v>
      </c>
      <c r="D54" s="25">
        <f>1+3+13+4+2+3+3+2+2+8+1+4</f>
        <v>46</v>
      </c>
      <c r="E54" s="25">
        <f>7+6+2+5+7+3+1+5+2+8+3+6</f>
        <v>55</v>
      </c>
      <c r="F54" s="20">
        <f t="shared" si="0"/>
        <v>104</v>
      </c>
      <c r="H54" s="210" t="s">
        <v>26</v>
      </c>
      <c r="I54" s="211">
        <f>I55/M55</f>
        <v>0</v>
      </c>
      <c r="J54" s="212">
        <f>J55/M55</f>
        <v>7.4074074074074077E-3</v>
      </c>
      <c r="K54" s="212">
        <f>K55/M55</f>
        <v>0.99259259259259258</v>
      </c>
      <c r="L54" s="212"/>
      <c r="M54" s="213">
        <f>I54+J54+K54+L54</f>
        <v>1</v>
      </c>
    </row>
    <row r="55" spans="1:19" ht="23" customHeight="1" thickBot="1">
      <c r="A55" s="9" t="s">
        <v>26</v>
      </c>
      <c r="B55" s="25"/>
      <c r="C55" s="25">
        <f>1</f>
        <v>1</v>
      </c>
      <c r="D55" s="25">
        <f>1+6+2+2+1+2+3+1</f>
        <v>18</v>
      </c>
      <c r="E55" s="25">
        <f>8+8+8+9+7+9+5+4+3+5+6+13+9+4+9+9</f>
        <v>116</v>
      </c>
      <c r="F55" s="20">
        <f t="shared" si="0"/>
        <v>135</v>
      </c>
      <c r="I55" s="208">
        <f>B55</f>
        <v>0</v>
      </c>
      <c r="J55" s="208">
        <f>C55</f>
        <v>1</v>
      </c>
      <c r="K55" s="208">
        <f>D55+E55</f>
        <v>134</v>
      </c>
      <c r="L55" s="209"/>
      <c r="M55" s="209">
        <f>J55+K55+L55</f>
        <v>135</v>
      </c>
    </row>
    <row r="56" spans="1:19">
      <c r="F56" s="17"/>
    </row>
    <row r="58" spans="1:19" ht="9" customHeight="1"/>
    <row r="59" spans="1:19">
      <c r="I59" s="81"/>
      <c r="J59" s="81"/>
      <c r="K59" s="80"/>
      <c r="L59" s="81"/>
      <c r="N59" s="81"/>
    </row>
    <row r="60" spans="1:19">
      <c r="H60" s="207"/>
      <c r="I60" s="197"/>
      <c r="J60" s="197"/>
      <c r="K60" s="197"/>
      <c r="L60" s="197"/>
      <c r="M60" s="197"/>
    </row>
    <row r="61" spans="1:19">
      <c r="H61" s="206"/>
    </row>
    <row r="85" spans="8:13" ht="17">
      <c r="H85" s="211" t="s">
        <v>121</v>
      </c>
      <c r="I85" s="21" t="s">
        <v>43</v>
      </c>
      <c r="J85" s="21" t="s">
        <v>42</v>
      </c>
      <c r="K85" s="214" t="s">
        <v>118</v>
      </c>
      <c r="L85" s="215"/>
      <c r="M85" s="215"/>
    </row>
    <row r="86" spans="8:13" ht="26">
      <c r="H86" s="210" t="s">
        <v>18</v>
      </c>
      <c r="I86" s="211">
        <f>I87/M87</f>
        <v>7.4074074074074077E-3</v>
      </c>
      <c r="J86" s="212">
        <f>J87/M87</f>
        <v>4.4444444444444446E-2</v>
      </c>
      <c r="K86" s="212">
        <f>K87/M87</f>
        <v>0.94814814814814818</v>
      </c>
      <c r="L86" s="212"/>
      <c r="M86" s="213">
        <f>I86+J86+K86+L86</f>
        <v>1</v>
      </c>
    </row>
    <row r="87" spans="8:13">
      <c r="I87" s="208">
        <f>B38</f>
        <v>1</v>
      </c>
      <c r="J87" s="208">
        <f>C38</f>
        <v>6</v>
      </c>
      <c r="K87" s="208">
        <f>D38+E38</f>
        <v>128</v>
      </c>
      <c r="L87" s="209"/>
      <c r="M87" s="209">
        <f>J87+K87+L87+I87</f>
        <v>135</v>
      </c>
    </row>
    <row r="127" spans="8:14">
      <c r="I127" s="81"/>
      <c r="J127" s="81"/>
      <c r="K127" s="80"/>
      <c r="L127" s="81"/>
      <c r="N127" s="81"/>
    </row>
    <row r="128" spans="8:14">
      <c r="H128" s="206"/>
      <c r="I128" s="197"/>
      <c r="J128" s="197"/>
      <c r="K128" s="197"/>
      <c r="L128" s="197"/>
    </row>
    <row r="129" spans="8:8">
      <c r="H129" s="206"/>
    </row>
  </sheetData>
  <mergeCells count="16">
    <mergeCell ref="A1:D1"/>
    <mergeCell ref="B46:B49"/>
    <mergeCell ref="C46:C49"/>
    <mergeCell ref="D46:D49"/>
    <mergeCell ref="E46:E49"/>
    <mergeCell ref="F30:F33"/>
    <mergeCell ref="F39:F42"/>
    <mergeCell ref="F46:F49"/>
    <mergeCell ref="B30:B33"/>
    <mergeCell ref="C30:C33"/>
    <mergeCell ref="D30:D33"/>
    <mergeCell ref="E30:E33"/>
    <mergeCell ref="B39:B42"/>
    <mergeCell ref="C39:C42"/>
    <mergeCell ref="D39:D42"/>
    <mergeCell ref="E39:E42"/>
  </mergeCells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8B49C-9368-7A4C-B5BA-F051F12F9072}">
  <dimension ref="A1:N85"/>
  <sheetViews>
    <sheetView topLeftCell="A2" zoomScale="117" zoomScaleNormal="75" workbookViewId="0">
      <selection activeCell="H2" sqref="H2"/>
    </sheetView>
  </sheetViews>
  <sheetFormatPr baseColWidth="10" defaultRowHeight="16"/>
  <cols>
    <col min="1" max="1" width="45.6640625" customWidth="1"/>
    <col min="2" max="5" width="13.83203125" customWidth="1"/>
    <col min="6" max="6" width="15.33203125" customWidth="1"/>
    <col min="7" max="7" width="19.33203125" customWidth="1"/>
    <col min="8" max="8" width="20.5" customWidth="1"/>
    <col min="9" max="9" width="20.83203125" customWidth="1"/>
    <col min="10" max="14" width="17.33203125" customWidth="1"/>
  </cols>
  <sheetData>
    <row r="1" spans="1:14" ht="24">
      <c r="A1" s="235" t="s">
        <v>137</v>
      </c>
      <c r="B1" s="235"/>
      <c r="C1" s="235"/>
      <c r="D1" s="235"/>
    </row>
    <row r="2" spans="1:14" ht="45" customHeight="1">
      <c r="A2" s="24" t="s">
        <v>30</v>
      </c>
      <c r="B2" s="24" t="s">
        <v>51</v>
      </c>
      <c r="C2" s="24" t="s">
        <v>6</v>
      </c>
      <c r="D2" s="24" t="s">
        <v>7</v>
      </c>
      <c r="E2" s="24" t="s">
        <v>27</v>
      </c>
      <c r="F2" s="96" t="s">
        <v>66</v>
      </c>
      <c r="G2" s="1"/>
      <c r="H2" s="1"/>
    </row>
    <row r="3" spans="1:14" ht="46" customHeight="1">
      <c r="A3" s="114" t="s">
        <v>145</v>
      </c>
      <c r="B3" s="30" t="s">
        <v>144</v>
      </c>
      <c r="C3" s="21">
        <v>11</v>
      </c>
      <c r="D3" s="21">
        <v>10</v>
      </c>
      <c r="E3" s="22" t="s">
        <v>28</v>
      </c>
      <c r="F3" s="21">
        <v>1</v>
      </c>
      <c r="G3" s="1"/>
      <c r="H3" s="1"/>
      <c r="I3" s="1"/>
    </row>
    <row r="4" spans="1:14" ht="30" customHeight="1">
      <c r="A4" s="116"/>
      <c r="B4" s="30"/>
      <c r="C4" s="30"/>
      <c r="D4" s="21"/>
      <c r="E4" s="22"/>
      <c r="F4" s="97"/>
      <c r="G4" s="1"/>
      <c r="H4" s="1"/>
      <c r="I4" s="211" t="s">
        <v>121</v>
      </c>
      <c r="J4" s="21" t="s">
        <v>43</v>
      </c>
      <c r="K4" s="21" t="s">
        <v>42</v>
      </c>
      <c r="L4" s="214" t="s">
        <v>118</v>
      </c>
      <c r="M4" s="215"/>
      <c r="N4" s="215"/>
    </row>
    <row r="5" spans="1:14" ht="30" customHeight="1">
      <c r="A5" s="114"/>
      <c r="B5" s="30"/>
      <c r="C5" s="21"/>
      <c r="D5" s="21"/>
      <c r="E5" s="22"/>
      <c r="F5" s="97"/>
      <c r="G5" s="1"/>
      <c r="H5" s="1"/>
      <c r="I5" s="210" t="s">
        <v>15</v>
      </c>
      <c r="J5" s="216">
        <f>J6/N6</f>
        <v>0</v>
      </c>
      <c r="K5" s="216">
        <f>K6/N6</f>
        <v>0</v>
      </c>
      <c r="L5" s="212">
        <f>L6/N6</f>
        <v>1</v>
      </c>
      <c r="M5" s="212"/>
      <c r="N5" s="213">
        <f>J5+K5+L5+M5</f>
        <v>1</v>
      </c>
    </row>
    <row r="6" spans="1:14" ht="30" customHeight="1">
      <c r="A6" s="35"/>
      <c r="B6" s="22"/>
      <c r="C6" s="22"/>
      <c r="D6" s="22"/>
      <c r="E6" s="22"/>
      <c r="F6" s="98"/>
      <c r="G6" s="1"/>
      <c r="H6" s="1"/>
      <c r="J6" s="208">
        <f>B22</f>
        <v>0</v>
      </c>
      <c r="K6" s="208">
        <f>C22</f>
        <v>0</v>
      </c>
      <c r="L6" s="208">
        <f>D22+E22</f>
        <v>10</v>
      </c>
      <c r="M6" s="209"/>
      <c r="N6" s="209">
        <f>K6+L6+M6+J6</f>
        <v>10</v>
      </c>
    </row>
    <row r="7" spans="1:14" ht="30" customHeight="1">
      <c r="A7" s="36"/>
      <c r="B7" s="23"/>
      <c r="C7" s="23"/>
      <c r="D7" s="23"/>
      <c r="E7" s="23"/>
      <c r="F7" s="98"/>
      <c r="G7" s="1"/>
      <c r="H7" s="1"/>
    </row>
    <row r="8" spans="1:14" ht="30" customHeight="1">
      <c r="A8" s="36"/>
      <c r="B8" s="23"/>
      <c r="C8" s="23"/>
      <c r="D8" s="23"/>
      <c r="E8" s="23"/>
      <c r="F8" s="98"/>
      <c r="G8" s="1"/>
      <c r="H8" s="1"/>
      <c r="I8" s="206"/>
      <c r="J8" s="197"/>
      <c r="K8" s="197"/>
      <c r="L8" s="197"/>
      <c r="M8" s="197"/>
    </row>
    <row r="9" spans="1:14" ht="30" customHeight="1">
      <c r="A9" s="126" t="s">
        <v>29</v>
      </c>
      <c r="B9" s="127"/>
      <c r="C9" s="129">
        <f>(C3+C4+C5+C6+C7+C8)</f>
        <v>11</v>
      </c>
      <c r="D9" s="129">
        <f t="shared" ref="D9:F9" si="0">(D3+D4+D5+D6+D7+D8)</f>
        <v>10</v>
      </c>
      <c r="E9" s="129"/>
      <c r="F9" s="129">
        <f t="shared" si="0"/>
        <v>1</v>
      </c>
      <c r="G9" s="1"/>
      <c r="H9" s="1"/>
      <c r="I9" s="206"/>
      <c r="J9" s="197"/>
      <c r="K9" s="197"/>
      <c r="L9" s="197"/>
      <c r="M9" s="197"/>
      <c r="N9" s="197"/>
    </row>
    <row r="10" spans="1:14" ht="30" customHeight="1" thickBot="1">
      <c r="A10" s="1"/>
      <c r="B10" s="1"/>
      <c r="C10" s="1"/>
      <c r="D10" s="1"/>
      <c r="E10" s="1"/>
      <c r="F10" s="1"/>
      <c r="G10" s="1"/>
      <c r="H10" s="1"/>
    </row>
    <row r="11" spans="1:14" ht="30" customHeight="1" thickBot="1">
      <c r="A11" s="2"/>
      <c r="B11" s="3">
        <v>0</v>
      </c>
      <c r="C11" s="4">
        <v>1</v>
      </c>
      <c r="D11" s="5">
        <v>2</v>
      </c>
      <c r="E11" s="6">
        <v>3</v>
      </c>
      <c r="F11" s="18" t="s">
        <v>29</v>
      </c>
      <c r="G11" s="1"/>
      <c r="H11" s="1"/>
    </row>
    <row r="12" spans="1:14" ht="22" customHeight="1" thickBot="1">
      <c r="A12" s="7" t="s">
        <v>101</v>
      </c>
      <c r="B12" s="28"/>
      <c r="C12" s="28"/>
      <c r="D12" s="28"/>
      <c r="E12" s="28">
        <f>10</f>
        <v>10</v>
      </c>
      <c r="F12" s="20">
        <f t="shared" ref="F12:F42" si="1">B12+C12+D12+E12</f>
        <v>10</v>
      </c>
      <c r="G12" s="1"/>
      <c r="H12" s="1"/>
    </row>
    <row r="13" spans="1:14" ht="22" customHeight="1" thickBot="1">
      <c r="A13" s="7" t="s">
        <v>76</v>
      </c>
      <c r="B13" s="28"/>
      <c r="C13" s="28"/>
      <c r="D13" s="28"/>
      <c r="E13" s="28"/>
      <c r="F13" s="20">
        <f t="shared" si="1"/>
        <v>0</v>
      </c>
      <c r="G13" s="1"/>
      <c r="H13" s="1"/>
    </row>
    <row r="14" spans="1:14" ht="22" customHeight="1" thickBot="1">
      <c r="A14" s="8" t="s">
        <v>9</v>
      </c>
      <c r="B14" s="29"/>
      <c r="C14" s="29"/>
      <c r="D14" s="29"/>
      <c r="E14" s="29">
        <f>10</f>
        <v>10</v>
      </c>
      <c r="F14" s="20">
        <f t="shared" si="1"/>
        <v>10</v>
      </c>
      <c r="G14" s="1"/>
      <c r="H14" s="1"/>
    </row>
    <row r="15" spans="1:14" ht="22" customHeight="1" thickBot="1">
      <c r="A15" s="9" t="s">
        <v>10</v>
      </c>
      <c r="B15" s="25"/>
      <c r="C15" s="25"/>
      <c r="D15" s="25">
        <f>1</f>
        <v>1</v>
      </c>
      <c r="E15" s="25">
        <f>9</f>
        <v>9</v>
      </c>
      <c r="F15" s="20">
        <f t="shared" si="1"/>
        <v>10</v>
      </c>
      <c r="G15" s="1"/>
      <c r="H15" s="1"/>
    </row>
    <row r="16" spans="1:14" ht="22" customHeight="1" thickBot="1">
      <c r="A16" s="10" t="s">
        <v>11</v>
      </c>
      <c r="B16" s="27"/>
      <c r="C16" s="27"/>
      <c r="D16" s="27"/>
      <c r="E16" s="27">
        <f>10</f>
        <v>10</v>
      </c>
      <c r="F16" s="20">
        <f t="shared" si="1"/>
        <v>10</v>
      </c>
      <c r="H16" s="1"/>
    </row>
    <row r="17" spans="1:14" ht="10" customHeight="1">
      <c r="A17" s="14"/>
      <c r="B17" s="231"/>
      <c r="C17" s="231"/>
      <c r="D17" s="231"/>
      <c r="E17" s="231"/>
      <c r="F17" s="231"/>
    </row>
    <row r="18" spans="1:14" ht="4" customHeight="1">
      <c r="A18" s="14"/>
      <c r="B18" s="232"/>
      <c r="C18" s="232"/>
      <c r="D18" s="232"/>
      <c r="E18" s="232"/>
      <c r="F18" s="232"/>
    </row>
    <row r="19" spans="1:14" ht="16" customHeight="1">
      <c r="A19" s="15" t="s">
        <v>12</v>
      </c>
      <c r="B19" s="232"/>
      <c r="C19" s="232"/>
      <c r="D19" s="232"/>
      <c r="E19" s="232"/>
      <c r="F19" s="232"/>
    </row>
    <row r="20" spans="1:14" ht="11" customHeight="1" thickBot="1">
      <c r="A20" s="16" t="s">
        <v>13</v>
      </c>
      <c r="B20" s="233"/>
      <c r="C20" s="233"/>
      <c r="D20" s="233"/>
      <c r="E20" s="233"/>
      <c r="F20" s="233"/>
    </row>
    <row r="21" spans="1:14" ht="22" customHeight="1" thickBot="1">
      <c r="A21" s="10" t="s">
        <v>14</v>
      </c>
      <c r="B21" s="27"/>
      <c r="C21" s="27"/>
      <c r="D21" s="27"/>
      <c r="E21" s="27">
        <f>10</f>
        <v>10</v>
      </c>
      <c r="F21" s="20">
        <f t="shared" si="1"/>
        <v>10</v>
      </c>
    </row>
    <row r="22" spans="1:14" ht="22" customHeight="1" thickBot="1">
      <c r="A22" s="9" t="s">
        <v>15</v>
      </c>
      <c r="B22" s="25"/>
      <c r="C22" s="25"/>
      <c r="D22" s="25">
        <f>1</f>
        <v>1</v>
      </c>
      <c r="E22" s="25">
        <f>9</f>
        <v>9</v>
      </c>
      <c r="F22" s="20">
        <f t="shared" si="1"/>
        <v>10</v>
      </c>
    </row>
    <row r="23" spans="1:14" ht="22" customHeight="1" thickBot="1">
      <c r="A23" s="10" t="s">
        <v>16</v>
      </c>
      <c r="B23" s="27"/>
      <c r="C23" s="27"/>
      <c r="D23" s="27">
        <f>1</f>
        <v>1</v>
      </c>
      <c r="E23" s="27">
        <f>9</f>
        <v>9</v>
      </c>
      <c r="F23" s="20">
        <f t="shared" si="1"/>
        <v>10</v>
      </c>
    </row>
    <row r="24" spans="1:14" ht="22" customHeight="1" thickBot="1">
      <c r="A24" s="9" t="s">
        <v>17</v>
      </c>
      <c r="B24" s="25"/>
      <c r="C24" s="25"/>
      <c r="D24" s="25">
        <f>2</f>
        <v>2</v>
      </c>
      <c r="E24" s="25">
        <f>8</f>
        <v>8</v>
      </c>
      <c r="F24" s="20">
        <f t="shared" si="1"/>
        <v>10</v>
      </c>
    </row>
    <row r="25" spans="1:14" ht="22" customHeight="1" thickBot="1">
      <c r="A25" s="9" t="s">
        <v>18</v>
      </c>
      <c r="B25" s="25"/>
      <c r="C25" s="25"/>
      <c r="D25" s="25">
        <f>3</f>
        <v>3</v>
      </c>
      <c r="E25" s="25">
        <f>7</f>
        <v>7</v>
      </c>
      <c r="F25" s="20">
        <f t="shared" si="1"/>
        <v>10</v>
      </c>
      <c r="I25" s="211" t="s">
        <v>121</v>
      </c>
      <c r="J25" s="21" t="s">
        <v>43</v>
      </c>
      <c r="K25" s="21" t="s">
        <v>42</v>
      </c>
      <c r="L25" s="214" t="s">
        <v>118</v>
      </c>
      <c r="M25" s="215"/>
      <c r="N25" s="215"/>
    </row>
    <row r="26" spans="1:14" ht="25" customHeight="1">
      <c r="A26" s="14"/>
      <c r="B26" s="234"/>
      <c r="C26" s="234"/>
      <c r="D26" s="234"/>
      <c r="E26" s="234"/>
      <c r="F26" s="234"/>
      <c r="I26" s="210" t="s">
        <v>16</v>
      </c>
      <c r="J26" s="211">
        <f>J27/N27</f>
        <v>0</v>
      </c>
      <c r="K26" s="212">
        <f>K27/N27</f>
        <v>0</v>
      </c>
      <c r="L26" s="212">
        <f>L27/N27</f>
        <v>1</v>
      </c>
      <c r="M26" s="212"/>
      <c r="N26" s="213">
        <f>J26+K26+L26+M26</f>
        <v>1</v>
      </c>
    </row>
    <row r="27" spans="1:14" ht="15" customHeight="1">
      <c r="A27" s="14"/>
      <c r="B27" s="232"/>
      <c r="C27" s="232"/>
      <c r="D27" s="232"/>
      <c r="E27" s="232"/>
      <c r="F27" s="232"/>
      <c r="J27" s="208">
        <f>B23</f>
        <v>0</v>
      </c>
      <c r="K27" s="208">
        <f>C23</f>
        <v>0</v>
      </c>
      <c r="L27" s="208">
        <f>D23+E23</f>
        <v>10</v>
      </c>
      <c r="M27" s="209"/>
      <c r="N27" s="209">
        <f>K27+L27+M27+J27</f>
        <v>10</v>
      </c>
    </row>
    <row r="28" spans="1:14" ht="21" customHeight="1">
      <c r="A28" s="15" t="s">
        <v>19</v>
      </c>
      <c r="B28" s="232"/>
      <c r="C28" s="232"/>
      <c r="D28" s="232"/>
      <c r="E28" s="232"/>
      <c r="F28" s="232"/>
      <c r="I28" s="206"/>
    </row>
    <row r="29" spans="1:14" ht="10" customHeight="1" thickBot="1">
      <c r="A29" s="16" t="s">
        <v>20</v>
      </c>
      <c r="B29" s="233"/>
      <c r="C29" s="233"/>
      <c r="D29" s="233"/>
      <c r="E29" s="233"/>
      <c r="F29" s="233"/>
      <c r="I29" s="206"/>
    </row>
    <row r="30" spans="1:14" ht="23" customHeight="1" thickBot="1">
      <c r="A30" s="9" t="s">
        <v>21</v>
      </c>
      <c r="B30" s="25"/>
      <c r="C30" s="25"/>
      <c r="D30" s="25"/>
      <c r="E30" s="25">
        <f>10</f>
        <v>10</v>
      </c>
      <c r="F30" s="20">
        <f t="shared" si="1"/>
        <v>10</v>
      </c>
    </row>
    <row r="31" spans="1:14" ht="23" customHeight="1" thickBot="1">
      <c r="A31" s="11" t="s">
        <v>22</v>
      </c>
      <c r="B31" s="25"/>
      <c r="C31" s="25"/>
      <c r="D31" s="25"/>
      <c r="E31" s="25">
        <f>10</f>
        <v>10</v>
      </c>
      <c r="F31" s="19">
        <f t="shared" si="1"/>
        <v>10</v>
      </c>
    </row>
    <row r="32" spans="1:14" ht="23" customHeight="1" thickBot="1">
      <c r="A32" s="12" t="s">
        <v>23</v>
      </c>
      <c r="B32" s="26"/>
      <c r="C32" s="26"/>
      <c r="D32" s="26">
        <f>1</f>
        <v>1</v>
      </c>
      <c r="E32" s="25">
        <f>9</f>
        <v>9</v>
      </c>
      <c r="F32" s="20">
        <f t="shared" si="1"/>
        <v>10</v>
      </c>
    </row>
    <row r="33" spans="1:6" ht="9" customHeight="1">
      <c r="A33" s="13"/>
      <c r="B33" s="231"/>
      <c r="C33" s="231"/>
      <c r="D33" s="231"/>
      <c r="E33" s="231"/>
      <c r="F33" s="234"/>
    </row>
    <row r="34" spans="1:6" ht="4" customHeight="1">
      <c r="A34" s="14"/>
      <c r="B34" s="232"/>
      <c r="C34" s="232"/>
      <c r="D34" s="232"/>
      <c r="E34" s="232"/>
      <c r="F34" s="232"/>
    </row>
    <row r="35" spans="1:6" ht="21" customHeight="1">
      <c r="A35" s="15" t="s">
        <v>24</v>
      </c>
      <c r="B35" s="232"/>
      <c r="C35" s="232"/>
      <c r="D35" s="232"/>
      <c r="E35" s="232"/>
      <c r="F35" s="232"/>
    </row>
    <row r="36" spans="1:6" ht="9" customHeight="1" thickBot="1">
      <c r="A36" s="16" t="s">
        <v>20</v>
      </c>
      <c r="B36" s="233"/>
      <c r="C36" s="233"/>
      <c r="D36" s="233"/>
      <c r="E36" s="233"/>
      <c r="F36" s="233"/>
    </row>
    <row r="37" spans="1:6" ht="23" customHeight="1" thickBot="1">
      <c r="A37" s="9" t="s">
        <v>25</v>
      </c>
      <c r="B37" s="25"/>
      <c r="C37" s="25"/>
      <c r="D37" s="25"/>
      <c r="E37" s="25">
        <f>10</f>
        <v>10</v>
      </c>
      <c r="F37" s="19">
        <f t="shared" si="1"/>
        <v>10</v>
      </c>
    </row>
    <row r="38" spans="1:6" ht="23" customHeight="1" thickBot="1">
      <c r="A38" s="11" t="s">
        <v>59</v>
      </c>
      <c r="B38" s="25"/>
      <c r="C38" s="25"/>
      <c r="D38" s="25"/>
      <c r="E38" s="25"/>
      <c r="F38" s="20">
        <f t="shared" si="1"/>
        <v>0</v>
      </c>
    </row>
    <row r="39" spans="1:6" ht="23" customHeight="1" thickBot="1">
      <c r="A39" s="11" t="s">
        <v>62</v>
      </c>
      <c r="B39" s="25"/>
      <c r="C39" s="25"/>
      <c r="D39" s="25"/>
      <c r="E39" s="25">
        <f>10</f>
        <v>10</v>
      </c>
      <c r="F39" s="20">
        <f t="shared" si="1"/>
        <v>10</v>
      </c>
    </row>
    <row r="40" spans="1:6" ht="23" customHeight="1" thickBot="1">
      <c r="A40" s="11" t="s">
        <v>60</v>
      </c>
      <c r="B40" s="25"/>
      <c r="C40" s="25"/>
      <c r="D40" s="25"/>
      <c r="E40" s="25"/>
      <c r="F40" s="20">
        <f t="shared" si="1"/>
        <v>0</v>
      </c>
    </row>
    <row r="41" spans="1:6" ht="23" customHeight="1" thickBot="1">
      <c r="A41" s="11" t="s">
        <v>61</v>
      </c>
      <c r="B41" s="25"/>
      <c r="C41" s="25"/>
      <c r="D41" s="25">
        <f>1</f>
        <v>1</v>
      </c>
      <c r="E41" s="25">
        <f>9</f>
        <v>9</v>
      </c>
      <c r="F41" s="20">
        <f t="shared" si="1"/>
        <v>10</v>
      </c>
    </row>
    <row r="42" spans="1:6" ht="23" customHeight="1" thickBot="1">
      <c r="A42" s="9" t="s">
        <v>26</v>
      </c>
      <c r="B42" s="25"/>
      <c r="C42" s="25"/>
      <c r="D42" s="25"/>
      <c r="E42" s="25">
        <f>10</f>
        <v>10</v>
      </c>
      <c r="F42" s="20">
        <f t="shared" si="1"/>
        <v>10</v>
      </c>
    </row>
    <row r="43" spans="1:6">
      <c r="F43" s="17"/>
    </row>
    <row r="44" spans="1:6" ht="9" customHeight="1"/>
    <row r="51" spans="9:14" ht="17">
      <c r="I51" s="211" t="s">
        <v>121</v>
      </c>
      <c r="J51" s="21" t="s">
        <v>43</v>
      </c>
      <c r="K51" s="21" t="s">
        <v>42</v>
      </c>
      <c r="L51" s="214" t="s">
        <v>118</v>
      </c>
      <c r="M51" s="215"/>
      <c r="N51" s="215"/>
    </row>
    <row r="52" spans="9:14" ht="26">
      <c r="I52" s="210" t="s">
        <v>26</v>
      </c>
      <c r="J52" s="216">
        <f>J53/N53</f>
        <v>0</v>
      </c>
      <c r="K52" s="212">
        <f>K53/N53</f>
        <v>0</v>
      </c>
      <c r="L52" s="212">
        <f>L53/N53</f>
        <v>1</v>
      </c>
      <c r="M52" s="212"/>
      <c r="N52" s="213">
        <f>J52+K52+L52+M52</f>
        <v>1</v>
      </c>
    </row>
    <row r="53" spans="9:14">
      <c r="J53" s="208">
        <f>B42</f>
        <v>0</v>
      </c>
      <c r="K53" s="208">
        <f>C42</f>
        <v>0</v>
      </c>
      <c r="L53" s="208">
        <f>D42+E42</f>
        <v>10</v>
      </c>
      <c r="M53" s="208"/>
      <c r="N53" s="209">
        <f>K53+L53+M53+J53</f>
        <v>10</v>
      </c>
    </row>
    <row r="57" spans="9:14">
      <c r="J57" s="81"/>
      <c r="K57" s="81"/>
      <c r="L57" s="80"/>
      <c r="M57" s="81"/>
    </row>
    <row r="58" spans="9:14">
      <c r="I58" s="207"/>
      <c r="J58" s="197"/>
      <c r="K58" s="197"/>
      <c r="L58" s="197"/>
      <c r="M58" s="197"/>
      <c r="N58" s="197"/>
    </row>
    <row r="59" spans="9:14">
      <c r="I59" s="206"/>
    </row>
    <row r="83" spans="9:14" ht="17">
      <c r="I83" s="211" t="s">
        <v>121</v>
      </c>
      <c r="J83" s="21" t="s">
        <v>43</v>
      </c>
      <c r="K83" s="21" t="s">
        <v>42</v>
      </c>
      <c r="L83" s="214" t="s">
        <v>118</v>
      </c>
      <c r="M83" s="215"/>
      <c r="N83" s="215"/>
    </row>
    <row r="84" spans="9:14" ht="26">
      <c r="I84" s="210" t="s">
        <v>18</v>
      </c>
      <c r="J84" s="216">
        <f>J85/N85</f>
        <v>0</v>
      </c>
      <c r="K84" s="212">
        <f>K85/N85</f>
        <v>0</v>
      </c>
      <c r="L84" s="212">
        <f>L85/N85</f>
        <v>1</v>
      </c>
      <c r="M84" s="212"/>
      <c r="N84" s="213">
        <f>J84+K84+L84+M84</f>
        <v>1</v>
      </c>
    </row>
    <row r="85" spans="9:14">
      <c r="J85" s="208">
        <f>B25</f>
        <v>0</v>
      </c>
      <c r="K85" s="208">
        <f>C25</f>
        <v>0</v>
      </c>
      <c r="L85" s="208">
        <f>D25+E25</f>
        <v>10</v>
      </c>
      <c r="M85" s="209"/>
      <c r="N85" s="209">
        <f>K85+L85+M85+J85</f>
        <v>10</v>
      </c>
    </row>
  </sheetData>
  <mergeCells count="16">
    <mergeCell ref="B26:B29"/>
    <mergeCell ref="C26:C29"/>
    <mergeCell ref="D26:D29"/>
    <mergeCell ref="E26:E29"/>
    <mergeCell ref="F26:F29"/>
    <mergeCell ref="B33:B36"/>
    <mergeCell ref="C33:C36"/>
    <mergeCell ref="D33:D36"/>
    <mergeCell ref="E33:E36"/>
    <mergeCell ref="F33:F36"/>
    <mergeCell ref="F17:F20"/>
    <mergeCell ref="A1:D1"/>
    <mergeCell ref="B17:B20"/>
    <mergeCell ref="C17:C20"/>
    <mergeCell ref="D17:D20"/>
    <mergeCell ref="E17:E20"/>
  </mergeCells>
  <pageMargins left="0.7" right="0.7" top="0.75" bottom="0.75" header="0.3" footer="0.3"/>
  <pageSetup paperSize="9" orientation="portrait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98526-7699-994D-80DA-8CAFFC7AE375}">
  <dimension ref="A1:N85"/>
  <sheetViews>
    <sheetView tabSelected="1" topLeftCell="D1" zoomScaleNormal="75" workbookViewId="0">
      <selection activeCell="E9" sqref="E9"/>
    </sheetView>
  </sheetViews>
  <sheetFormatPr baseColWidth="10" defaultRowHeight="16"/>
  <cols>
    <col min="1" max="1" width="45.6640625" customWidth="1"/>
    <col min="2" max="5" width="13.83203125" customWidth="1"/>
    <col min="6" max="6" width="15.33203125" customWidth="1"/>
    <col min="7" max="7" width="19.33203125" customWidth="1"/>
    <col min="8" max="8" width="20.5" customWidth="1"/>
    <col min="9" max="9" width="20.83203125" customWidth="1"/>
    <col min="10" max="14" width="17.33203125" customWidth="1"/>
  </cols>
  <sheetData>
    <row r="1" spans="1:14" ht="24">
      <c r="A1" s="235" t="s">
        <v>136</v>
      </c>
      <c r="B1" s="235"/>
      <c r="C1" s="235"/>
      <c r="D1" s="235"/>
    </row>
    <row r="2" spans="1:14" ht="45" customHeight="1">
      <c r="A2" s="24" t="s">
        <v>30</v>
      </c>
      <c r="B2" s="24" t="s">
        <v>51</v>
      </c>
      <c r="C2" s="24" t="s">
        <v>6</v>
      </c>
      <c r="D2" s="24" t="s">
        <v>7</v>
      </c>
      <c r="E2" s="24" t="s">
        <v>27</v>
      </c>
      <c r="F2" s="96" t="s">
        <v>66</v>
      </c>
      <c r="G2" s="1"/>
      <c r="H2" s="1"/>
    </row>
    <row r="3" spans="1:14" ht="30" customHeight="1">
      <c r="A3" s="114" t="s">
        <v>143</v>
      </c>
      <c r="B3" s="30" t="s">
        <v>142</v>
      </c>
      <c r="C3" s="21">
        <v>7</v>
      </c>
      <c r="D3" s="21">
        <v>7</v>
      </c>
      <c r="E3" s="22" t="s">
        <v>28</v>
      </c>
      <c r="F3" s="21">
        <v>1</v>
      </c>
      <c r="G3" s="1"/>
      <c r="H3" s="1"/>
      <c r="I3" s="1"/>
    </row>
    <row r="4" spans="1:14" ht="30" customHeight="1">
      <c r="A4" s="116" t="s">
        <v>170</v>
      </c>
      <c r="B4" s="30" t="s">
        <v>142</v>
      </c>
      <c r="C4" s="30">
        <v>22</v>
      </c>
      <c r="D4" s="21">
        <v>4</v>
      </c>
      <c r="E4" s="22" t="s">
        <v>28</v>
      </c>
      <c r="F4" s="21">
        <v>1</v>
      </c>
      <c r="G4" s="1"/>
      <c r="H4" s="1"/>
      <c r="I4" s="211" t="s">
        <v>121</v>
      </c>
      <c r="J4" s="21" t="s">
        <v>43</v>
      </c>
      <c r="K4" s="21" t="s">
        <v>42</v>
      </c>
      <c r="L4" s="214" t="s">
        <v>118</v>
      </c>
      <c r="M4" s="215"/>
      <c r="N4" s="215"/>
    </row>
    <row r="5" spans="1:14" ht="30" customHeight="1">
      <c r="A5" s="114" t="s">
        <v>184</v>
      </c>
      <c r="B5" s="30" t="s">
        <v>117</v>
      </c>
      <c r="C5" s="21">
        <v>11</v>
      </c>
      <c r="D5" s="21">
        <v>8</v>
      </c>
      <c r="E5" s="22" t="s">
        <v>28</v>
      </c>
      <c r="F5" s="97">
        <v>1</v>
      </c>
      <c r="G5" s="1"/>
      <c r="H5" s="1"/>
      <c r="I5" s="210" t="s">
        <v>15</v>
      </c>
      <c r="J5" s="216">
        <f>J6/N6</f>
        <v>0</v>
      </c>
      <c r="K5" s="216">
        <f>K6/N6</f>
        <v>0</v>
      </c>
      <c r="L5" s="212">
        <f>L6/N6</f>
        <v>1</v>
      </c>
      <c r="M5" s="212"/>
      <c r="N5" s="213">
        <f>J5+K5+L5+M5</f>
        <v>1</v>
      </c>
    </row>
    <row r="6" spans="1:14" ht="30" customHeight="1">
      <c r="A6" s="35" t="s">
        <v>192</v>
      </c>
      <c r="B6" s="22" t="s">
        <v>117</v>
      </c>
      <c r="C6" s="22">
        <v>10</v>
      </c>
      <c r="D6" s="22">
        <v>10</v>
      </c>
      <c r="E6" s="22" t="s">
        <v>28</v>
      </c>
      <c r="F6" s="98">
        <v>1</v>
      </c>
      <c r="G6" s="1"/>
      <c r="H6" s="1"/>
      <c r="J6" s="208">
        <f>B22</f>
        <v>0</v>
      </c>
      <c r="K6" s="208">
        <f>C22</f>
        <v>0</v>
      </c>
      <c r="L6" s="208">
        <f>D22+E22</f>
        <v>38</v>
      </c>
      <c r="M6" s="209"/>
      <c r="N6" s="209">
        <f>K6+L6+M6+J6</f>
        <v>38</v>
      </c>
    </row>
    <row r="7" spans="1:14" ht="30" customHeight="1">
      <c r="A7" s="36" t="s">
        <v>193</v>
      </c>
      <c r="B7" s="23" t="s">
        <v>142</v>
      </c>
      <c r="C7" s="23">
        <v>13</v>
      </c>
      <c r="D7" s="23">
        <v>14</v>
      </c>
      <c r="E7" s="23" t="s">
        <v>191</v>
      </c>
      <c r="F7" s="98">
        <v>1</v>
      </c>
      <c r="G7" s="1"/>
      <c r="H7" s="1"/>
    </row>
    <row r="8" spans="1:14" ht="30" customHeight="1">
      <c r="A8" s="36" t="s">
        <v>194</v>
      </c>
      <c r="B8" s="23" t="s">
        <v>117</v>
      </c>
      <c r="C8" s="23">
        <v>10</v>
      </c>
      <c r="D8" s="23">
        <v>10</v>
      </c>
      <c r="E8" s="23" t="s">
        <v>28</v>
      </c>
      <c r="F8" s="98">
        <v>1</v>
      </c>
      <c r="G8" s="1"/>
      <c r="H8" s="1"/>
      <c r="I8" s="206"/>
      <c r="J8" s="197"/>
      <c r="K8" s="197"/>
      <c r="L8" s="197"/>
      <c r="M8" s="197"/>
    </row>
    <row r="9" spans="1:14" ht="30" customHeight="1">
      <c r="A9" s="126" t="s">
        <v>29</v>
      </c>
      <c r="B9" s="127"/>
      <c r="C9" s="129">
        <f>(C3+C4+C5+C6+C7+C8)</f>
        <v>73</v>
      </c>
      <c r="D9" s="129">
        <f>(D3+D4+D5+D6+D7+D8)</f>
        <v>53</v>
      </c>
      <c r="E9" s="129"/>
      <c r="F9" s="129">
        <f t="shared" ref="F9" si="0">(F3+F4+F5+F6+F7+F8)</f>
        <v>6</v>
      </c>
      <c r="G9" s="1"/>
      <c r="H9" s="1"/>
      <c r="I9" s="206"/>
      <c r="J9" s="197"/>
      <c r="K9" s="197"/>
      <c r="L9" s="197"/>
      <c r="M9" s="197"/>
      <c r="N9" s="197"/>
    </row>
    <row r="10" spans="1:14" ht="30" customHeight="1" thickBot="1">
      <c r="A10" s="1"/>
      <c r="B10" s="1"/>
      <c r="C10" s="1"/>
      <c r="D10" s="1"/>
      <c r="E10" s="1"/>
      <c r="F10" s="1"/>
      <c r="G10" s="1"/>
      <c r="H10" s="1"/>
    </row>
    <row r="11" spans="1:14" ht="30" customHeight="1" thickBot="1">
      <c r="A11" s="2"/>
      <c r="B11" s="3">
        <v>0</v>
      </c>
      <c r="C11" s="4">
        <v>1</v>
      </c>
      <c r="D11" s="5">
        <v>2</v>
      </c>
      <c r="E11" s="6">
        <v>3</v>
      </c>
      <c r="F11" s="18" t="s">
        <v>29</v>
      </c>
      <c r="G11" s="1"/>
      <c r="H11" s="1"/>
    </row>
    <row r="12" spans="1:14" ht="22" customHeight="1" thickBot="1">
      <c r="A12" s="7" t="s">
        <v>101</v>
      </c>
      <c r="B12" s="28"/>
      <c r="C12" s="28"/>
      <c r="D12" s="28">
        <f>1+9+4</f>
        <v>14</v>
      </c>
      <c r="E12" s="28">
        <f>7+1+5</f>
        <v>13</v>
      </c>
      <c r="F12" s="20">
        <f t="shared" ref="F12:F42" si="1">B12+C12+D12+E12</f>
        <v>27</v>
      </c>
      <c r="G12" s="1"/>
      <c r="H12" s="1"/>
    </row>
    <row r="13" spans="1:14" ht="22" customHeight="1" thickBot="1">
      <c r="A13" s="7" t="s">
        <v>76</v>
      </c>
      <c r="B13" s="28"/>
      <c r="C13" s="28"/>
      <c r="D13" s="28">
        <f>2</f>
        <v>2</v>
      </c>
      <c r="E13" s="28">
        <f>9</f>
        <v>9</v>
      </c>
      <c r="F13" s="20">
        <f t="shared" si="1"/>
        <v>11</v>
      </c>
      <c r="G13" s="1"/>
      <c r="H13" s="1"/>
    </row>
    <row r="14" spans="1:14" ht="22" customHeight="1" thickBot="1">
      <c r="A14" s="8" t="s">
        <v>9</v>
      </c>
      <c r="B14" s="29"/>
      <c r="C14" s="29">
        <v>1</v>
      </c>
      <c r="D14" s="29">
        <f>1+2+3+2</f>
        <v>8</v>
      </c>
      <c r="E14" s="29">
        <f>7+7+2+7+6</f>
        <v>29</v>
      </c>
      <c r="F14" s="20">
        <f t="shared" si="1"/>
        <v>38</v>
      </c>
      <c r="G14" s="1"/>
      <c r="H14" s="1"/>
    </row>
    <row r="15" spans="1:14" ht="22" customHeight="1" thickBot="1">
      <c r="A15" s="9" t="s">
        <v>10</v>
      </c>
      <c r="B15" s="25"/>
      <c r="C15" s="25">
        <v>1</v>
      </c>
      <c r="D15" s="25">
        <f>2+3+1</f>
        <v>6</v>
      </c>
      <c r="E15" s="25">
        <f>7+10+6+8</f>
        <v>31</v>
      </c>
      <c r="F15" s="20">
        <f t="shared" si="1"/>
        <v>38</v>
      </c>
      <c r="G15" s="1"/>
      <c r="H15" s="1"/>
    </row>
    <row r="16" spans="1:14" ht="22" customHeight="1" thickBot="1">
      <c r="A16" s="10" t="s">
        <v>11</v>
      </c>
      <c r="B16" s="27"/>
      <c r="C16" s="27"/>
      <c r="D16" s="27">
        <f>1+3+1</f>
        <v>5</v>
      </c>
      <c r="E16" s="27">
        <f>6+9+10+9</f>
        <v>34</v>
      </c>
      <c r="F16" s="20">
        <f t="shared" si="1"/>
        <v>39</v>
      </c>
      <c r="H16" s="1"/>
    </row>
    <row r="17" spans="1:14" ht="10" customHeight="1">
      <c r="A17" s="14"/>
      <c r="B17" s="231"/>
      <c r="C17" s="231"/>
      <c r="D17" s="231"/>
      <c r="E17" s="231"/>
      <c r="F17" s="231"/>
    </row>
    <row r="18" spans="1:14" ht="4" customHeight="1">
      <c r="A18" s="14"/>
      <c r="B18" s="232"/>
      <c r="C18" s="232"/>
      <c r="D18" s="232"/>
      <c r="E18" s="232"/>
      <c r="F18" s="232"/>
    </row>
    <row r="19" spans="1:14" ht="16" customHeight="1">
      <c r="A19" s="15" t="s">
        <v>12</v>
      </c>
      <c r="B19" s="232"/>
      <c r="C19" s="232"/>
      <c r="D19" s="232"/>
      <c r="E19" s="232"/>
      <c r="F19" s="232"/>
    </row>
    <row r="20" spans="1:14" ht="11" customHeight="1" thickBot="1">
      <c r="A20" s="16" t="s">
        <v>13</v>
      </c>
      <c r="B20" s="233"/>
      <c r="C20" s="233"/>
      <c r="D20" s="233"/>
      <c r="E20" s="233"/>
      <c r="F20" s="233"/>
    </row>
    <row r="21" spans="1:14" ht="22" customHeight="1" thickBot="1">
      <c r="A21" s="10" t="s">
        <v>14</v>
      </c>
      <c r="B21" s="27"/>
      <c r="C21" s="27"/>
      <c r="D21" s="27">
        <f>1+3+1</f>
        <v>5</v>
      </c>
      <c r="E21" s="27">
        <f>6+8+4+7+9</f>
        <v>34</v>
      </c>
      <c r="F21" s="20">
        <f t="shared" si="1"/>
        <v>39</v>
      </c>
    </row>
    <row r="22" spans="1:14" ht="22" customHeight="1" thickBot="1">
      <c r="A22" s="9" t="s">
        <v>15</v>
      </c>
      <c r="B22" s="25"/>
      <c r="C22" s="25"/>
      <c r="D22" s="25">
        <f>1+1+3+1</f>
        <v>6</v>
      </c>
      <c r="E22" s="25">
        <f>6+7+4+7+8</f>
        <v>32</v>
      </c>
      <c r="F22" s="20">
        <f t="shared" si="1"/>
        <v>38</v>
      </c>
    </row>
    <row r="23" spans="1:14" ht="22" customHeight="1" thickBot="1">
      <c r="A23" s="10" t="s">
        <v>16</v>
      </c>
      <c r="B23" s="27"/>
      <c r="C23" s="27">
        <f>1</f>
        <v>1</v>
      </c>
      <c r="D23" s="27">
        <f>1+1+2+2+3</f>
        <v>9</v>
      </c>
      <c r="E23" s="27">
        <f>6+3+6+7+6</f>
        <v>28</v>
      </c>
      <c r="F23" s="20">
        <f t="shared" si="1"/>
        <v>38</v>
      </c>
    </row>
    <row r="24" spans="1:14" ht="22" customHeight="1" thickBot="1">
      <c r="A24" s="9" t="s">
        <v>17</v>
      </c>
      <c r="B24" s="25"/>
      <c r="C24" s="25">
        <f>2</f>
        <v>2</v>
      </c>
      <c r="D24" s="25">
        <f>1+2+2+3</f>
        <v>8</v>
      </c>
      <c r="E24" s="25">
        <f>7+6+3+6+7</f>
        <v>29</v>
      </c>
      <c r="F24" s="20">
        <f t="shared" si="1"/>
        <v>39</v>
      </c>
    </row>
    <row r="25" spans="1:14" ht="22" customHeight="1" thickBot="1">
      <c r="A25" s="9" t="s">
        <v>18</v>
      </c>
      <c r="B25" s="25"/>
      <c r="C25" s="25"/>
      <c r="D25" s="25">
        <f>1+1+2+7+3</f>
        <v>14</v>
      </c>
      <c r="E25" s="25">
        <f>6+6+3+3+6</f>
        <v>24</v>
      </c>
      <c r="F25" s="20">
        <f t="shared" si="1"/>
        <v>38</v>
      </c>
      <c r="I25" s="211" t="s">
        <v>121</v>
      </c>
      <c r="J25" s="21" t="s">
        <v>43</v>
      </c>
      <c r="K25" s="21" t="s">
        <v>42</v>
      </c>
      <c r="L25" s="214" t="s">
        <v>118</v>
      </c>
      <c r="M25" s="215"/>
      <c r="N25" s="215"/>
    </row>
    <row r="26" spans="1:14" ht="25" customHeight="1">
      <c r="A26" s="14"/>
      <c r="B26" s="234"/>
      <c r="C26" s="234"/>
      <c r="D26" s="234"/>
      <c r="E26" s="234"/>
      <c r="F26" s="234"/>
      <c r="I26" s="210" t="s">
        <v>16</v>
      </c>
      <c r="J26" s="211">
        <f>J27/N27</f>
        <v>0</v>
      </c>
      <c r="K26" s="212">
        <f>K27/N27</f>
        <v>2.6315789473684209E-2</v>
      </c>
      <c r="L26" s="212">
        <f>L27/N27</f>
        <v>0.97368421052631582</v>
      </c>
      <c r="M26" s="212"/>
      <c r="N26" s="213">
        <f>J26+K26+L26+M26</f>
        <v>1</v>
      </c>
    </row>
    <row r="27" spans="1:14" ht="15" customHeight="1">
      <c r="A27" s="14"/>
      <c r="B27" s="232"/>
      <c r="C27" s="232"/>
      <c r="D27" s="232"/>
      <c r="E27" s="232"/>
      <c r="F27" s="232"/>
      <c r="J27" s="208">
        <f>B23</f>
        <v>0</v>
      </c>
      <c r="K27" s="208">
        <f>C23</f>
        <v>1</v>
      </c>
      <c r="L27" s="208">
        <f>D23+E23</f>
        <v>37</v>
      </c>
      <c r="M27" s="209"/>
      <c r="N27" s="209">
        <f>K27+L27+M27+J27</f>
        <v>38</v>
      </c>
    </row>
    <row r="28" spans="1:14" ht="21" customHeight="1">
      <c r="A28" s="15" t="s">
        <v>19</v>
      </c>
      <c r="B28" s="232"/>
      <c r="C28" s="232"/>
      <c r="D28" s="232"/>
      <c r="E28" s="232"/>
      <c r="F28" s="232"/>
      <c r="I28" s="206"/>
    </row>
    <row r="29" spans="1:14" ht="10" customHeight="1" thickBot="1">
      <c r="A29" s="16" t="s">
        <v>20</v>
      </c>
      <c r="B29" s="233"/>
      <c r="C29" s="233"/>
      <c r="D29" s="233"/>
      <c r="E29" s="233"/>
      <c r="F29" s="233"/>
      <c r="I29" s="206"/>
    </row>
    <row r="30" spans="1:14" ht="23" customHeight="1" thickBot="1">
      <c r="A30" s="9" t="s">
        <v>21</v>
      </c>
      <c r="B30" s="25"/>
      <c r="C30" s="25"/>
      <c r="D30" s="25">
        <f>1</f>
        <v>1</v>
      </c>
      <c r="E30" s="25">
        <f>7+4+8+9+10</f>
        <v>38</v>
      </c>
      <c r="F30" s="20">
        <f t="shared" si="1"/>
        <v>39</v>
      </c>
    </row>
    <row r="31" spans="1:14" ht="23" customHeight="1" thickBot="1">
      <c r="A31" s="11" t="s">
        <v>22</v>
      </c>
      <c r="B31" s="25"/>
      <c r="C31" s="25"/>
      <c r="D31" s="25"/>
      <c r="E31" s="25">
        <f>7+4+8+10+10</f>
        <v>39</v>
      </c>
      <c r="F31" s="19">
        <f t="shared" si="1"/>
        <v>39</v>
      </c>
    </row>
    <row r="32" spans="1:14" ht="23" customHeight="1" thickBot="1">
      <c r="A32" s="12" t="s">
        <v>23</v>
      </c>
      <c r="B32" s="26"/>
      <c r="C32" s="26"/>
      <c r="D32" s="26">
        <f>2+3</f>
        <v>5</v>
      </c>
      <c r="E32" s="25">
        <f>7+4+6+10+7</f>
        <v>34</v>
      </c>
      <c r="F32" s="20">
        <f t="shared" si="1"/>
        <v>39</v>
      </c>
    </row>
    <row r="33" spans="1:6" ht="9" customHeight="1">
      <c r="A33" s="13"/>
      <c r="B33" s="231"/>
      <c r="C33" s="231"/>
      <c r="D33" s="231"/>
      <c r="E33" s="231"/>
      <c r="F33" s="234"/>
    </row>
    <row r="34" spans="1:6" ht="4" customHeight="1">
      <c r="A34" s="14"/>
      <c r="B34" s="232"/>
      <c r="C34" s="232"/>
      <c r="D34" s="232"/>
      <c r="E34" s="232"/>
      <c r="F34" s="232"/>
    </row>
    <row r="35" spans="1:6" ht="21" customHeight="1">
      <c r="A35" s="15" t="s">
        <v>24</v>
      </c>
      <c r="B35" s="232"/>
      <c r="C35" s="232"/>
      <c r="D35" s="232"/>
      <c r="E35" s="232"/>
      <c r="F35" s="232"/>
    </row>
    <row r="36" spans="1:6" ht="9" customHeight="1" thickBot="1">
      <c r="A36" s="16" t="s">
        <v>20</v>
      </c>
      <c r="B36" s="233"/>
      <c r="C36" s="233"/>
      <c r="D36" s="233"/>
      <c r="E36" s="233"/>
      <c r="F36" s="233"/>
    </row>
    <row r="37" spans="1:6" ht="23" customHeight="1" thickBot="1">
      <c r="A37" s="9" t="s">
        <v>25</v>
      </c>
      <c r="B37" s="25"/>
      <c r="C37" s="25"/>
      <c r="D37" s="25">
        <f>3+2+1</f>
        <v>6</v>
      </c>
      <c r="E37" s="25">
        <f>7+9+8+9</f>
        <v>33</v>
      </c>
      <c r="F37" s="19">
        <f t="shared" si="1"/>
        <v>39</v>
      </c>
    </row>
    <row r="38" spans="1:6" ht="23" customHeight="1" thickBot="1">
      <c r="A38" s="11" t="s">
        <v>59</v>
      </c>
      <c r="B38" s="25"/>
      <c r="C38" s="25"/>
      <c r="D38" s="25">
        <f>4+2</f>
        <v>6</v>
      </c>
      <c r="E38" s="25">
        <f>9+6+8</f>
        <v>23</v>
      </c>
      <c r="F38" s="20">
        <f t="shared" si="1"/>
        <v>29</v>
      </c>
    </row>
    <row r="39" spans="1:6" ht="23" customHeight="1" thickBot="1">
      <c r="A39" s="11" t="s">
        <v>62</v>
      </c>
      <c r="B39" s="25"/>
      <c r="C39" s="25"/>
      <c r="D39" s="25"/>
      <c r="E39" s="25">
        <f>10</f>
        <v>10</v>
      </c>
      <c r="F39" s="20">
        <f t="shared" si="1"/>
        <v>10</v>
      </c>
    </row>
    <row r="40" spans="1:6" ht="23" customHeight="1" thickBot="1">
      <c r="A40" s="11" t="s">
        <v>60</v>
      </c>
      <c r="B40" s="25"/>
      <c r="C40" s="25"/>
      <c r="D40" s="25">
        <f>2</f>
        <v>2</v>
      </c>
      <c r="E40" s="25">
        <f>9+8+10</f>
        <v>27</v>
      </c>
      <c r="F40" s="20">
        <f t="shared" si="1"/>
        <v>29</v>
      </c>
    </row>
    <row r="41" spans="1:6" ht="23" customHeight="1" thickBot="1">
      <c r="A41" s="11" t="s">
        <v>61</v>
      </c>
      <c r="B41" s="25"/>
      <c r="C41" s="25"/>
      <c r="D41" s="25"/>
      <c r="E41" s="25">
        <f>10</f>
        <v>10</v>
      </c>
      <c r="F41" s="20">
        <f t="shared" si="1"/>
        <v>10</v>
      </c>
    </row>
    <row r="42" spans="1:6" ht="23" customHeight="1" thickBot="1">
      <c r="A42" s="9" t="s">
        <v>26</v>
      </c>
      <c r="B42" s="25"/>
      <c r="C42" s="25"/>
      <c r="D42" s="25">
        <f>4+1+1</f>
        <v>6</v>
      </c>
      <c r="E42" s="25">
        <f>7+2+6+9</f>
        <v>24</v>
      </c>
      <c r="F42" s="20">
        <f t="shared" si="1"/>
        <v>30</v>
      </c>
    </row>
    <row r="43" spans="1:6">
      <c r="F43" s="17"/>
    </row>
    <row r="44" spans="1:6" ht="9" customHeight="1"/>
    <row r="51" spans="9:14" ht="17">
      <c r="I51" s="211" t="s">
        <v>121</v>
      </c>
      <c r="J51" s="21" t="s">
        <v>43</v>
      </c>
      <c r="K51" s="21" t="s">
        <v>42</v>
      </c>
      <c r="L51" s="214" t="s">
        <v>118</v>
      </c>
      <c r="M51" s="215"/>
      <c r="N51" s="215"/>
    </row>
    <row r="52" spans="9:14" ht="26">
      <c r="I52" s="210" t="s">
        <v>26</v>
      </c>
      <c r="J52" s="216">
        <f>J53/N53</f>
        <v>0</v>
      </c>
      <c r="K52" s="212">
        <f>K53/N53</f>
        <v>0</v>
      </c>
      <c r="L52" s="212">
        <f>L53/N53</f>
        <v>1</v>
      </c>
      <c r="M52" s="212"/>
      <c r="N52" s="213">
        <f>J52+K52+L52+M52</f>
        <v>1</v>
      </c>
    </row>
    <row r="53" spans="9:14">
      <c r="J53" s="208">
        <f>B42</f>
        <v>0</v>
      </c>
      <c r="K53" s="208">
        <f>C42</f>
        <v>0</v>
      </c>
      <c r="L53" s="208">
        <f>D42+E42</f>
        <v>30</v>
      </c>
      <c r="M53" s="208"/>
      <c r="N53" s="209">
        <f>K53+L53+M53+J53</f>
        <v>30</v>
      </c>
    </row>
    <row r="57" spans="9:14">
      <c r="J57" s="81"/>
      <c r="K57" s="81"/>
      <c r="L57" s="80"/>
      <c r="M57" s="81"/>
    </row>
    <row r="58" spans="9:14">
      <c r="I58" s="207"/>
      <c r="J58" s="197"/>
      <c r="K58" s="197"/>
      <c r="L58" s="197"/>
      <c r="M58" s="197"/>
      <c r="N58" s="197"/>
    </row>
    <row r="59" spans="9:14">
      <c r="I59" s="206"/>
    </row>
    <row r="83" spans="9:14" ht="17">
      <c r="I83" s="211" t="s">
        <v>121</v>
      </c>
      <c r="J83" s="21" t="s">
        <v>43</v>
      </c>
      <c r="K83" s="21" t="s">
        <v>42</v>
      </c>
      <c r="L83" s="214" t="s">
        <v>118</v>
      </c>
      <c r="M83" s="215"/>
      <c r="N83" s="215"/>
    </row>
    <row r="84" spans="9:14" ht="26">
      <c r="I84" s="210" t="s">
        <v>18</v>
      </c>
      <c r="J84" s="216">
        <f>J85/N85</f>
        <v>0</v>
      </c>
      <c r="K84" s="212">
        <f>K85/N85</f>
        <v>0</v>
      </c>
      <c r="L84" s="212">
        <f>L85/N85</f>
        <v>1</v>
      </c>
      <c r="M84" s="212"/>
      <c r="N84" s="213">
        <f>J84+K84+L84+M84</f>
        <v>1</v>
      </c>
    </row>
    <row r="85" spans="9:14">
      <c r="J85" s="208">
        <f>B25</f>
        <v>0</v>
      </c>
      <c r="K85" s="208">
        <f>C25</f>
        <v>0</v>
      </c>
      <c r="L85" s="208">
        <f>D25+E25</f>
        <v>38</v>
      </c>
      <c r="M85" s="209"/>
      <c r="N85" s="209">
        <f>K85+L85+M85+J85</f>
        <v>38</v>
      </c>
    </row>
  </sheetData>
  <mergeCells count="16">
    <mergeCell ref="B26:B29"/>
    <mergeCell ref="C26:C29"/>
    <mergeCell ref="D26:D29"/>
    <mergeCell ref="E26:E29"/>
    <mergeCell ref="F26:F29"/>
    <mergeCell ref="B33:B36"/>
    <mergeCell ref="C33:C36"/>
    <mergeCell ref="D33:D36"/>
    <mergeCell ref="E33:E36"/>
    <mergeCell ref="F33:F36"/>
    <mergeCell ref="F17:F20"/>
    <mergeCell ref="A1:D1"/>
    <mergeCell ref="B17:B20"/>
    <mergeCell ref="C17:C20"/>
    <mergeCell ref="D17:D20"/>
    <mergeCell ref="E17:E20"/>
  </mergeCells>
  <pageMargins left="0.7" right="0.7" top="0.75" bottom="0.75" header="0.3" footer="0.3"/>
  <pageSetup paperSize="9" orientation="portrait" horizontalDpi="0" verticalDpi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A7DA-0A84-B24D-9C0A-4E9AB8D8D35C}">
  <sheetPr>
    <pageSetUpPr fitToPage="1"/>
  </sheetPr>
  <dimension ref="A1:I69"/>
  <sheetViews>
    <sheetView topLeftCell="A20" workbookViewId="0">
      <selection activeCell="G64" sqref="G64"/>
    </sheetView>
  </sheetViews>
  <sheetFormatPr baseColWidth="10" defaultRowHeight="16"/>
  <cols>
    <col min="1" max="1" width="33.6640625" customWidth="1"/>
    <col min="2" max="6" width="15.1640625" customWidth="1"/>
  </cols>
  <sheetData>
    <row r="1" spans="1:7" ht="24">
      <c r="A1" s="235"/>
      <c r="B1" s="235"/>
      <c r="C1" s="235"/>
      <c r="D1" s="235"/>
    </row>
    <row r="2" spans="1:7" ht="46" customHeight="1">
      <c r="A2" s="84" t="s">
        <v>48</v>
      </c>
      <c r="B2" s="84" t="s">
        <v>36</v>
      </c>
      <c r="C2" s="84" t="s">
        <v>6</v>
      </c>
      <c r="D2" s="84" t="s">
        <v>7</v>
      </c>
      <c r="E2" s="84" t="s">
        <v>93</v>
      </c>
    </row>
    <row r="3" spans="1:7" ht="43" customHeight="1">
      <c r="A3" s="34" t="s">
        <v>68</v>
      </c>
      <c r="B3" s="21">
        <f>'pratiques religieuses'!F22</f>
        <v>17</v>
      </c>
      <c r="C3" s="21">
        <f>'pratiques religieuses'!C22</f>
        <v>153</v>
      </c>
      <c r="D3" s="85">
        <f>'pratiques religieuses'!D22</f>
        <v>135</v>
      </c>
      <c r="E3" s="130">
        <f>D3*100/C3</f>
        <v>88.235294117647058</v>
      </c>
      <c r="F3" t="s">
        <v>100</v>
      </c>
    </row>
    <row r="4" spans="1:7" ht="25" customHeight="1">
      <c r="A4" s="34" t="s">
        <v>69</v>
      </c>
      <c r="B4" s="21">
        <f>genre!F18</f>
        <v>15</v>
      </c>
      <c r="C4" s="21">
        <f>genre!C18</f>
        <v>172</v>
      </c>
      <c r="D4" s="21">
        <f>genre!D18</f>
        <v>153</v>
      </c>
      <c r="E4" s="130">
        <f>D4*100/C4</f>
        <v>88.95348837209302</v>
      </c>
      <c r="F4" t="s">
        <v>100</v>
      </c>
    </row>
    <row r="5" spans="1:7" ht="25" customHeight="1">
      <c r="A5" s="34" t="s">
        <v>70</v>
      </c>
      <c r="B5" s="21">
        <f>racisme!F14</f>
        <v>11</v>
      </c>
      <c r="C5" s="21">
        <f>racisme!C14</f>
        <v>81</v>
      </c>
      <c r="D5" s="21">
        <f>racisme!D14</f>
        <v>70</v>
      </c>
      <c r="E5" s="130">
        <f>D5*100/C5</f>
        <v>86.419753086419746</v>
      </c>
      <c r="F5" t="s">
        <v>100</v>
      </c>
    </row>
    <row r="6" spans="1:7" ht="25" customHeight="1">
      <c r="A6" s="35" t="s">
        <v>71</v>
      </c>
      <c r="B6" s="22">
        <f>famille!F23</f>
        <v>18</v>
      </c>
      <c r="C6" s="22">
        <f>famille!C23</f>
        <v>170</v>
      </c>
      <c r="D6" s="22">
        <f>famille!D23</f>
        <v>181</v>
      </c>
      <c r="E6" s="130">
        <f t="shared" ref="E6:E7" si="0">D6*100/C6</f>
        <v>106.47058823529412</v>
      </c>
      <c r="F6" t="s">
        <v>100</v>
      </c>
    </row>
    <row r="7" spans="1:7" ht="25" customHeight="1">
      <c r="A7" s="36" t="s">
        <v>72</v>
      </c>
      <c r="B7" s="36">
        <f>environnement!F9</f>
        <v>1</v>
      </c>
      <c r="C7" s="36">
        <f>environnement!C9</f>
        <v>7</v>
      </c>
      <c r="D7" s="36">
        <f>environnement!D9</f>
        <v>5</v>
      </c>
      <c r="E7" s="130">
        <f t="shared" si="0"/>
        <v>71.428571428571431</v>
      </c>
      <c r="F7" t="s">
        <v>100</v>
      </c>
    </row>
    <row r="8" spans="1:7" ht="25" customHeight="1">
      <c r="A8" s="36" t="s">
        <v>73</v>
      </c>
      <c r="B8" s="23">
        <f>maladie!F9</f>
        <v>4</v>
      </c>
      <c r="C8" s="23">
        <f>maladie!C9</f>
        <v>35</v>
      </c>
      <c r="D8" s="23">
        <f>maladie!D9</f>
        <v>28</v>
      </c>
      <c r="E8" s="130">
        <f>D8*100/C8</f>
        <v>80</v>
      </c>
      <c r="F8" t="s">
        <v>100</v>
      </c>
    </row>
    <row r="9" spans="1:7" ht="25" customHeight="1">
      <c r="A9" s="36" t="s">
        <v>74</v>
      </c>
      <c r="B9" s="36" t="s">
        <v>172</v>
      </c>
      <c r="C9" s="23">
        <f>'différents âge vie'!C9</f>
        <v>51</v>
      </c>
      <c r="D9" s="23">
        <f>'différents âge vie'!D9</f>
        <v>49</v>
      </c>
      <c r="E9" s="130">
        <f>D9*100/C9</f>
        <v>96.078431372549019</v>
      </c>
      <c r="F9" t="s">
        <v>100</v>
      </c>
      <c r="G9" s="226" t="s">
        <v>174</v>
      </c>
    </row>
    <row r="10" spans="1:7" ht="25" customHeight="1">
      <c r="A10" s="36" t="s">
        <v>75</v>
      </c>
      <c r="B10" s="36">
        <f>migrations!F9</f>
        <v>0</v>
      </c>
      <c r="C10" s="36">
        <f>migrations!C9</f>
        <v>0</v>
      </c>
      <c r="D10" s="36">
        <f>migrations!D9</f>
        <v>0</v>
      </c>
      <c r="E10" s="130"/>
      <c r="F10" t="s">
        <v>100</v>
      </c>
    </row>
    <row r="11" spans="1:7" ht="25" customHeight="1">
      <c r="A11" s="36" t="s">
        <v>138</v>
      </c>
      <c r="B11" s="219">
        <f>plurilinguisme!F9</f>
        <v>1</v>
      </c>
      <c r="C11" s="219">
        <f>plurilinguisme!C9</f>
        <v>13</v>
      </c>
      <c r="D11" s="219">
        <f>plurilinguisme!D9</f>
        <v>13</v>
      </c>
      <c r="E11" s="130">
        <f>D11*100/C11</f>
        <v>100</v>
      </c>
      <c r="F11" t="s">
        <v>100</v>
      </c>
    </row>
    <row r="12" spans="1:7" ht="25" customHeight="1">
      <c r="A12" s="36" t="s">
        <v>139</v>
      </c>
      <c r="B12" s="219">
        <f>'discours de haine'!F9</f>
        <v>1</v>
      </c>
      <c r="C12" s="219">
        <f>'discours de haine'!C9</f>
        <v>11</v>
      </c>
      <c r="D12" s="219">
        <f>'discours de haine'!D9</f>
        <v>10</v>
      </c>
      <c r="E12" s="130">
        <f t="shared" ref="E12:E13" si="1">D12*100/C12</f>
        <v>90.909090909090907</v>
      </c>
      <c r="F12" t="s">
        <v>100</v>
      </c>
    </row>
    <row r="13" spans="1:7" ht="25" customHeight="1">
      <c r="A13" s="36" t="s">
        <v>140</v>
      </c>
      <c r="B13" s="219">
        <f>interculturalité!F9</f>
        <v>6</v>
      </c>
      <c r="C13" s="219">
        <f>interculturalité!C9</f>
        <v>73</v>
      </c>
      <c r="D13" s="219">
        <f>interculturalité!D9</f>
        <v>53</v>
      </c>
      <c r="E13" s="130">
        <f t="shared" si="1"/>
        <v>72.602739726027394</v>
      </c>
      <c r="F13" t="s">
        <v>100</v>
      </c>
    </row>
    <row r="14" spans="1:7" ht="25" customHeight="1">
      <c r="A14" s="36"/>
      <c r="B14" s="218"/>
      <c r="C14" s="218"/>
      <c r="D14" s="218"/>
      <c r="E14" s="130"/>
    </row>
    <row r="15" spans="1:7" ht="25" customHeight="1">
      <c r="A15" s="36"/>
      <c r="B15" s="218"/>
      <c r="C15" s="218"/>
      <c r="D15" s="218"/>
      <c r="E15" s="130"/>
    </row>
    <row r="16" spans="1:7" ht="25" customHeight="1">
      <c r="A16" s="83" t="s">
        <v>29</v>
      </c>
      <c r="B16" s="223">
        <f>B3+B4+B5+B6+B7+B8+B9+B10+B11+B12+B13</f>
        <v>80</v>
      </c>
      <c r="C16" s="223">
        <f>C3+C4+C5+C6+C7+C8+C9+C10+C11+C12+C13</f>
        <v>766</v>
      </c>
      <c r="D16" s="223">
        <f>D3+D4+D5+D6+D7+D8+D9+D10+D11+D12+D13</f>
        <v>697</v>
      </c>
      <c r="E16" s="131">
        <f>D16*100/C16</f>
        <v>90.992167101827675</v>
      </c>
      <c r="F16" t="s">
        <v>100</v>
      </c>
    </row>
    <row r="17" spans="1:9" ht="25" customHeight="1">
      <c r="A17" s="79"/>
      <c r="B17" s="79"/>
      <c r="C17" s="79"/>
      <c r="D17" s="79"/>
      <c r="E17" s="1"/>
    </row>
    <row r="18" spans="1:9" ht="18" thickBot="1">
      <c r="A18" s="1"/>
      <c r="B18" s="81" t="s">
        <v>43</v>
      </c>
      <c r="C18" s="81" t="s">
        <v>42</v>
      </c>
      <c r="D18" s="80" t="s">
        <v>41</v>
      </c>
      <c r="E18" s="81" t="s">
        <v>40</v>
      </c>
      <c r="F18" s="80"/>
      <c r="H18" t="s">
        <v>37</v>
      </c>
    </row>
    <row r="19" spans="1:9" ht="28" customHeight="1" thickBot="1">
      <c r="A19" s="49"/>
      <c r="B19" s="47">
        <v>0</v>
      </c>
      <c r="C19" s="46">
        <v>1</v>
      </c>
      <c r="D19" s="45">
        <v>2</v>
      </c>
      <c r="E19" s="37">
        <v>3</v>
      </c>
      <c r="F19" s="44" t="s">
        <v>29</v>
      </c>
      <c r="G19" s="43"/>
    </row>
    <row r="20" spans="1:9" ht="25" customHeight="1">
      <c r="A20" s="273" t="s">
        <v>94</v>
      </c>
      <c r="B20" s="59">
        <f>'pratiques religieuses'!B25+genre!B21+racisme!B17+famille!B26+environnement!B12+'différents âge vie'!B12+migrations!B12+maladie!B12+plurilinguisme!B12+'discours de haine'!B12+interculturalité!B12</f>
        <v>0</v>
      </c>
      <c r="C20" s="59">
        <f>'pratiques religieuses'!C25+genre!C21+racisme!C17+famille!C26+environnement!C12+'différents âge vie'!C12+migrations!C12+maladie!C12+plurilinguisme!C12+'discours de haine'!C12+interculturalité!C12</f>
        <v>21</v>
      </c>
      <c r="D20" s="59">
        <f>'pratiques religieuses'!D25+genre!D21+racisme!D17+famille!D26+environnement!D12+'différents âge vie'!D12+migrations!D12+maladie!D12+plurilinguisme!D12+'discours de haine'!D12+interculturalité!D12</f>
        <v>137</v>
      </c>
      <c r="E20" s="59">
        <f>'pratiques religieuses'!E25+genre!E21+racisme!E17+famille!E26+environnement!E12+'différents âge vie'!E12+migrations!E12+maladie!E12+plurilinguisme!E12+'discours de haine'!E12+interculturalité!E12</f>
        <v>230</v>
      </c>
      <c r="F20" s="52">
        <f>B20+C20+D20+E20</f>
        <v>388</v>
      </c>
      <c r="G20" s="43"/>
      <c r="H20" s="198">
        <f>(E20+E22)/(F20+F22)</f>
        <v>0.5502248875562219</v>
      </c>
      <c r="I20" t="s">
        <v>106</v>
      </c>
    </row>
    <row r="21" spans="1:9" ht="25" customHeight="1" thickBot="1">
      <c r="A21" s="274"/>
      <c r="B21" s="63">
        <f>B20/F20</f>
        <v>0</v>
      </c>
      <c r="C21" s="63">
        <f>C20/F20</f>
        <v>5.4123711340206188E-2</v>
      </c>
      <c r="D21" s="186">
        <f>D20/F20</f>
        <v>0.35309278350515466</v>
      </c>
      <c r="E21" s="64">
        <f>E20/F20</f>
        <v>0.59278350515463918</v>
      </c>
      <c r="F21" s="63">
        <f>B21+C21+D21+E21</f>
        <v>1</v>
      </c>
      <c r="G21" s="43"/>
      <c r="H21" s="197">
        <f>E21</f>
        <v>0.59278350515463918</v>
      </c>
      <c r="I21" t="s">
        <v>104</v>
      </c>
    </row>
    <row r="22" spans="1:9" ht="25" customHeight="1">
      <c r="A22" s="271" t="s">
        <v>95</v>
      </c>
      <c r="B22" s="190">
        <f>'pratiques religieuses'!B26+genre!B22+racisme!B18+famille!B27+environnement!B13+'différents âge vie'!B13+migrations!B13+maladie!B13+plurilinguisme!B13+'discours de haine'!B13+interculturalité!B13</f>
        <v>1</v>
      </c>
      <c r="C22" s="193">
        <f>'pratiques religieuses'!C26+genre!C22+racisme!C18+famille!C27+environnement!C13+'différents âge vie'!C13+migrations!C13+maladie!C13+plurilinguisme!C13+'discours de haine'!C13+interculturalité!C13</f>
        <v>41</v>
      </c>
      <c r="D22" s="193">
        <f>'pratiques religieuses'!D26+genre!D22+racisme!D18+famille!D27+environnement!D13+'différents âge vie'!D13+migrations!D13+maladie!D13+plurilinguisme!D13+'discours de haine'!D13+interculturalité!D13</f>
        <v>100</v>
      </c>
      <c r="E22" s="193">
        <f>'pratiques religieuses'!E26+genre!E22+racisme!E18+famille!E27+environnement!E13+'différents âge vie'!E13+migrations!E13+maladie!E13+plurilinguisme!E13+'discours de haine'!E13+interculturalité!E13</f>
        <v>137</v>
      </c>
      <c r="F22" s="187">
        <f>B22+C22+D22+E22</f>
        <v>279</v>
      </c>
      <c r="G22" s="43"/>
    </row>
    <row r="23" spans="1:9" ht="25" customHeight="1" thickBot="1">
      <c r="A23" s="272"/>
      <c r="B23" s="186">
        <f>B22/F22</f>
        <v>3.5842293906810036E-3</v>
      </c>
      <c r="C23" s="175">
        <f>C22/F22</f>
        <v>0.14695340501792115</v>
      </c>
      <c r="D23" s="175">
        <f>D22/F22</f>
        <v>0.35842293906810035</v>
      </c>
      <c r="E23" s="175">
        <f>E22/F22</f>
        <v>0.49103942652329752</v>
      </c>
      <c r="F23" s="65">
        <f>E23+D23+C23+B23</f>
        <v>1</v>
      </c>
      <c r="G23" s="43"/>
      <c r="H23" s="78">
        <f>E23</f>
        <v>0.49103942652329752</v>
      </c>
      <c r="I23" t="s">
        <v>103</v>
      </c>
    </row>
    <row r="24" spans="1:9" ht="25" customHeight="1">
      <c r="A24" s="267" t="s">
        <v>9</v>
      </c>
      <c r="B24" s="191">
        <f>'pratiques religieuses'!B27+genre!B23+racisme!B19+famille!B28+environnement!B14+'différents âge vie'!B14+migrations!B14+maladie!B14+plurilinguisme!B14+'discours de haine'!B14+interculturalité!B14</f>
        <v>1</v>
      </c>
      <c r="C24" s="194">
        <f>'pratiques religieuses'!C27+genre!C23+racisme!C19+famille!C28+environnement!C14+'différents âge vie'!C14+migrations!C14+maladie!C14+plurilinguisme!C14+'discours de haine'!C14+interculturalité!C14</f>
        <v>13</v>
      </c>
      <c r="D24" s="194">
        <f>'pratiques religieuses'!D27+genre!D23+racisme!D19+famille!D28+environnement!D14+'différents âge vie'!D14+migrations!D14+maladie!D14+plurilinguisme!D14+'discours de haine'!D14+interculturalité!D14</f>
        <v>176</v>
      </c>
      <c r="E24" s="194">
        <f>'pratiques religieuses'!E27+genre!E23+racisme!E19+famille!E28+environnement!E14+'différents âge vie'!E14+migrations!E14+maladie!E14+plurilinguisme!E14+'discours de haine'!E14+interculturalité!E14</f>
        <v>477</v>
      </c>
      <c r="F24" s="42">
        <f>B24+C24+D24+E24</f>
        <v>667</v>
      </c>
      <c r="G24" s="43"/>
    </row>
    <row r="25" spans="1:9" ht="25" customHeight="1" thickBot="1">
      <c r="A25" s="251"/>
      <c r="B25" s="157">
        <f>B24/F24</f>
        <v>1.4992503748125937E-3</v>
      </c>
      <c r="C25" s="147">
        <f>C24/F24</f>
        <v>1.9490254872563718E-2</v>
      </c>
      <c r="D25" s="147">
        <f>D24/F24</f>
        <v>0.26386806596701651</v>
      </c>
      <c r="E25" s="147">
        <f>E24/F24</f>
        <v>0.71514242878560719</v>
      </c>
      <c r="F25" s="188">
        <f>E25+D25+C25+B25</f>
        <v>1</v>
      </c>
      <c r="G25" s="43"/>
      <c r="H25" s="78">
        <f>E25</f>
        <v>0.71514242878560719</v>
      </c>
      <c r="I25" t="s">
        <v>105</v>
      </c>
    </row>
    <row r="26" spans="1:9" ht="25" customHeight="1">
      <c r="A26" s="269" t="s">
        <v>10</v>
      </c>
      <c r="B26" s="143">
        <f>'pratiques religieuses'!B28+genre!B24+racisme!B20+famille!B29+environnement!B15+'différents âge vie'!B15+migrations!B15+maladie!B15+plurilinguisme!B15+'discours de haine'!B15+interculturalité!B15</f>
        <v>1</v>
      </c>
      <c r="C26" s="159">
        <f>'pratiques religieuses'!C28+genre!C24+racisme!C20+famille!C29+environnement!C15+'différents âge vie'!C15+migrations!C15+maladie!C15+plurilinguisme!C15+'discours de haine'!C15+interculturalité!C15</f>
        <v>14</v>
      </c>
      <c r="D26" s="159">
        <f>'pratiques religieuses'!D28+genre!D24+racisme!D20+famille!D29+environnement!D15+'différents âge vie'!D15+migrations!D15+maladie!D15+plurilinguisme!D15+'discours de haine'!D15+interculturalité!D15</f>
        <v>132</v>
      </c>
      <c r="E26" s="159">
        <f>'pratiques religieuses'!E28+genre!E24+racisme!E20+famille!E29+environnement!E15+'différents âge vie'!E15+migrations!E15+maladie!E15+plurilinguisme!E15+'discours de haine'!E15+interculturalité!E15</f>
        <v>520</v>
      </c>
      <c r="F26" s="41">
        <f>B26+C26+D26+E26</f>
        <v>667</v>
      </c>
      <c r="G26" s="43"/>
    </row>
    <row r="27" spans="1:9" ht="25" customHeight="1" thickBot="1">
      <c r="A27" s="270"/>
      <c r="B27" s="155">
        <f>B26/F26</f>
        <v>1.4992503748125937E-3</v>
      </c>
      <c r="C27" s="173">
        <f>C26/F26</f>
        <v>2.0989505247376312E-2</v>
      </c>
      <c r="D27" s="173">
        <f>D26/F26</f>
        <v>0.19790104947526238</v>
      </c>
      <c r="E27" s="173">
        <f>E26/F26</f>
        <v>0.77961019490254868</v>
      </c>
      <c r="F27" s="68">
        <f>B27+C27+D27+E27</f>
        <v>1</v>
      </c>
      <c r="G27" s="43"/>
      <c r="H27" s="78">
        <f>E27</f>
        <v>0.77961019490254868</v>
      </c>
      <c r="I27" t="s">
        <v>38</v>
      </c>
    </row>
    <row r="28" spans="1:9" ht="25" customHeight="1">
      <c r="A28" s="268" t="s">
        <v>11</v>
      </c>
      <c r="B28" s="145">
        <f>'pratiques religieuses'!B29+genre!B25+racisme!B21+famille!B30+environnement!B16+'différents âge vie'!B16+migrations!B16+maladie!B16+plurilinguisme!B16+'discours de haine'!B16+interculturalité!B16</f>
        <v>0</v>
      </c>
      <c r="C28" s="151">
        <f>'pratiques religieuses'!C29+genre!C25+racisme!C21+famille!C30+environnement!C16+'différents âge vie'!C16+migrations!C16+maladie!C16+plurilinguisme!C16+'discours de haine'!C16+interculturalité!C16</f>
        <v>3</v>
      </c>
      <c r="D28" s="151">
        <f>'pratiques religieuses'!D29+genre!D25+racisme!D21+famille!D30+environnement!D16+'différents âge vie'!D16+migrations!D16+maladie!D16+plurilinguisme!D16+'discours de haine'!D16+interculturalité!D16</f>
        <v>118</v>
      </c>
      <c r="E28" s="151">
        <f>'pratiques religieuses'!E29+genre!E25+racisme!E21+famille!E30+environnement!E16+'différents âge vie'!E16+migrations!E16+maladie!E16+plurilinguisme!E16+'discours de haine'!E16+interculturalité!E16</f>
        <v>547</v>
      </c>
      <c r="F28" s="19">
        <f>B28+C28+D28+E28</f>
        <v>668</v>
      </c>
      <c r="G28" s="43"/>
    </row>
    <row r="29" spans="1:9" ht="25" customHeight="1" thickBot="1">
      <c r="A29" s="251"/>
      <c r="B29" s="192">
        <f>B28/F28</f>
        <v>0</v>
      </c>
      <c r="C29" s="195">
        <f>C28/F28</f>
        <v>4.4910179640718561E-3</v>
      </c>
      <c r="D29" s="195">
        <f>D28/F28</f>
        <v>0.17664670658682635</v>
      </c>
      <c r="E29" s="195">
        <f>E28/F28</f>
        <v>0.81886227544910184</v>
      </c>
      <c r="F29" s="189">
        <f>E29+D29+C29+B29</f>
        <v>1</v>
      </c>
      <c r="H29" s="78">
        <f>E29</f>
        <v>0.81886227544910184</v>
      </c>
      <c r="I29" t="s">
        <v>107</v>
      </c>
    </row>
    <row r="30" spans="1:9" ht="10" customHeight="1">
      <c r="A30" s="199"/>
      <c r="B30" s="265"/>
      <c r="C30" s="231"/>
      <c r="D30" s="231"/>
      <c r="E30" s="231"/>
      <c r="F30" s="254"/>
    </row>
    <row r="31" spans="1:9" ht="3" customHeight="1">
      <c r="A31" s="200"/>
      <c r="B31" s="266"/>
      <c r="C31" s="232"/>
      <c r="D31" s="232"/>
      <c r="E31" s="232"/>
      <c r="F31" s="255"/>
    </row>
    <row r="32" spans="1:9" ht="16" customHeight="1">
      <c r="A32" s="201" t="s">
        <v>12</v>
      </c>
      <c r="B32" s="266"/>
      <c r="C32" s="232"/>
      <c r="D32" s="232"/>
      <c r="E32" s="232"/>
      <c r="F32" s="255"/>
    </row>
    <row r="33" spans="1:9" ht="10" customHeight="1" thickBot="1">
      <c r="A33" s="202" t="s">
        <v>13</v>
      </c>
      <c r="B33" s="266"/>
      <c r="C33" s="253"/>
      <c r="D33" s="253"/>
      <c r="E33" s="253"/>
      <c r="F33" s="256"/>
    </row>
    <row r="34" spans="1:9" ht="24" customHeight="1">
      <c r="A34" s="246" t="s">
        <v>14</v>
      </c>
      <c r="B34" s="61">
        <f>'pratiques religieuses'!B34+genre!B30+racisme!B26+famille!B35+environnement!B21+'différents âge vie'!B21+migrations!B21+maladie!B21+plurilinguisme!B21+'discours de haine'!B21+interculturalité!B21</f>
        <v>1</v>
      </c>
      <c r="C34" s="138">
        <f>'pratiques religieuses'!C34+genre!C30+racisme!C26+famille!C35+environnement!C21+'différents âge vie'!C21+migrations!C21+maladie!C21+plurilinguisme!C21+'discours de haine'!C21+interculturalité!C21</f>
        <v>17</v>
      </c>
      <c r="D34" s="139">
        <f>'pratiques religieuses'!D34+genre!D30+racisme!D26+famille!D35+environnement!D21+'différents âge vie'!D21+migrations!D21+maladie!D21+plurilinguisme!D21+'discours de haine'!D21+interculturalité!D21</f>
        <v>128</v>
      </c>
      <c r="E34" s="164">
        <f>'pratiques religieuses'!E34+genre!E30+racisme!E26+famille!E35+environnement!E21+'différents âge vie'!E21+migrations!E21+maladie!E21+plurilinguisme!E21+'discours de haine'!E21+interculturalité!E21</f>
        <v>522</v>
      </c>
      <c r="F34" s="54">
        <f>B34+C34+D34+E34</f>
        <v>668</v>
      </c>
    </row>
    <row r="35" spans="1:9" ht="24" customHeight="1" thickBot="1">
      <c r="A35" s="247"/>
      <c r="B35" s="155">
        <f>B34/F34</f>
        <v>1.4970059880239522E-3</v>
      </c>
      <c r="C35" s="173">
        <f>C34/F34</f>
        <v>2.5449101796407185E-2</v>
      </c>
      <c r="D35" s="173">
        <f>D34/F34</f>
        <v>0.19161676646706588</v>
      </c>
      <c r="E35" s="174">
        <f>E34/F34</f>
        <v>0.78143712574850299</v>
      </c>
      <c r="F35" s="68">
        <f>E35+D35+C35+B35</f>
        <v>1</v>
      </c>
      <c r="H35" s="78">
        <f>E35</f>
        <v>0.78143712574850299</v>
      </c>
      <c r="I35" t="s">
        <v>39</v>
      </c>
    </row>
    <row r="36" spans="1:9" ht="24" customHeight="1">
      <c r="A36" s="238" t="s">
        <v>15</v>
      </c>
      <c r="B36" s="145">
        <f>'pratiques religieuses'!B35+genre!B31+racisme!B27+famille!B36+environnement!B22+'différents âge vie'!B22+migrations!B22+maladie!B22+plurilinguisme!B22+'discours de haine'!B22+interculturalité!B22</f>
        <v>2</v>
      </c>
      <c r="C36" s="151">
        <f>'pratiques religieuses'!C35+genre!C31+racisme!C27+famille!C36+environnement!C22+'différents âge vie'!C22+migrations!C22+maladie!C22+plurilinguisme!C22+'discours de haine'!C22+interculturalité!C22</f>
        <v>12</v>
      </c>
      <c r="D36" s="151">
        <f>'pratiques religieuses'!D35+genre!D31+racisme!D27+famille!D36+environnement!D22+'différents âge vie'!D22+migrations!D22+maladie!D22+plurilinguisme!D22+'discours de haine'!D22+interculturalité!D22</f>
        <v>162</v>
      </c>
      <c r="E36" s="170">
        <f>'pratiques religieuses'!E35+genre!E31+racisme!E27+famille!E36+environnement!E22+'différents âge vie'!E22+migrations!E22+maladie!E22+plurilinguisme!E22+'discours de haine'!E22+interculturalité!E22</f>
        <v>491</v>
      </c>
      <c r="F36" s="56">
        <f>B36+C36+D36+E36</f>
        <v>667</v>
      </c>
      <c r="G36" t="s">
        <v>49</v>
      </c>
    </row>
    <row r="37" spans="1:9" ht="24" customHeight="1" thickBot="1">
      <c r="A37" s="252"/>
      <c r="B37" s="157">
        <f>B36/F36</f>
        <v>2.9985007496251873E-3</v>
      </c>
      <c r="C37" s="147">
        <f>C36/F36</f>
        <v>1.7991004497751123E-2</v>
      </c>
      <c r="D37" s="147">
        <f>D36/F36</f>
        <v>0.24287856071964017</v>
      </c>
      <c r="E37" s="162">
        <f>E36/F36</f>
        <v>0.73613193403298349</v>
      </c>
      <c r="F37" s="71">
        <f>E37+D37+C37+B37</f>
        <v>1</v>
      </c>
      <c r="H37" s="78">
        <f>E37</f>
        <v>0.73613193403298349</v>
      </c>
      <c r="I37" t="s">
        <v>108</v>
      </c>
    </row>
    <row r="38" spans="1:9" ht="24" customHeight="1">
      <c r="A38" s="246" t="s">
        <v>16</v>
      </c>
      <c r="B38" s="143">
        <f>'pratiques religieuses'!B36+genre!B32+racisme!B28+famille!B37+environnement!B23+'différents âge vie'!B23+migrations!B23+maladie!B23+plurilinguisme!B23+'discours de haine'!B23+interculturalité!B23</f>
        <v>4</v>
      </c>
      <c r="C38" s="159">
        <f>'pratiques religieuses'!C36+genre!C32+racisme!C28+famille!C37+environnement!C23+'différents âge vie'!C23+migrations!C23+maladie!C23+plurilinguisme!C23+'discours de haine'!C23+interculturalité!C23</f>
        <v>19</v>
      </c>
      <c r="D38" s="159">
        <f>'pratiques religieuses'!D36+genre!D32+racisme!D28+famille!D37+environnement!D23+'différents âge vie'!D23+migrations!D23+maladie!D23+plurilinguisme!D23+'discours de haine'!D23+interculturalité!D23</f>
        <v>195</v>
      </c>
      <c r="E38" s="163">
        <f>'pratiques religieuses'!E36+genre!E32+racisme!E28+famille!E37+environnement!E23+'différents âge vie'!E23+migrations!E23+maladie!E23+plurilinguisme!E23+'discours de haine'!E23+interculturalité!E23</f>
        <v>449</v>
      </c>
      <c r="F38" s="55">
        <f>B38+C38+D38+E38</f>
        <v>667</v>
      </c>
      <c r="G38" t="s">
        <v>49</v>
      </c>
    </row>
    <row r="39" spans="1:9" ht="24" customHeight="1" thickBot="1">
      <c r="A39" s="247"/>
      <c r="B39" s="186">
        <f>B38/F38</f>
        <v>5.9970014992503746E-3</v>
      </c>
      <c r="C39" s="175">
        <f>C38/F38</f>
        <v>2.8485757121439279E-2</v>
      </c>
      <c r="D39" s="175">
        <f>D38/F38</f>
        <v>0.29235382308845576</v>
      </c>
      <c r="E39" s="182">
        <f>E38/F38</f>
        <v>0.67316341829085458</v>
      </c>
      <c r="F39" s="181">
        <f>E39+D39+C39+B39</f>
        <v>1</v>
      </c>
      <c r="H39" s="78">
        <f>E39</f>
        <v>0.67316341829085458</v>
      </c>
      <c r="I39" t="s">
        <v>109</v>
      </c>
    </row>
    <row r="40" spans="1:9" ht="24" customHeight="1">
      <c r="A40" s="238" t="s">
        <v>17</v>
      </c>
      <c r="B40" s="160">
        <f>'pratiques religieuses'!B37+genre!B33+racisme!B29+famille!B38+environnement!B24+'différents âge vie'!B24+migrations!B24+maladie!B24+plurilinguisme!B24+'discours de haine'!B24+interculturalité!B24</f>
        <v>1</v>
      </c>
      <c r="C40" s="184">
        <f>'pratiques religieuses'!C37+genre!C33+racisme!C29+famille!C38+environnement!C24+'différents âge vie'!C24+migrations!C24+maladie!C24+plurilinguisme!C24+'discours de haine'!C24+interculturalité!C24</f>
        <v>27</v>
      </c>
      <c r="D40" s="183">
        <f>'pratiques religieuses'!D37+genre!D33+racisme!D29+famille!D38+environnement!D24+'différents âge vie'!D24+migrations!D24+maladie!D24+plurilinguisme!D24+'discours de haine'!D24+interculturalité!D24</f>
        <v>236</v>
      </c>
      <c r="E40" s="176">
        <f>'pratiques religieuses'!E37+genre!E33+racisme!E29+famille!E38+environnement!E24+'différents âge vie'!E24+migrations!E24+maladie!E24+plurilinguisme!E24+'discours de haine'!E24+interculturalité!E24</f>
        <v>403</v>
      </c>
      <c r="F40" s="177">
        <f>B40+C40+D40+E40</f>
        <v>667</v>
      </c>
    </row>
    <row r="41" spans="1:9" ht="24" customHeight="1" thickBot="1">
      <c r="A41" s="252"/>
      <c r="B41" s="157">
        <f>B40/F40</f>
        <v>1.4992503748125937E-3</v>
      </c>
      <c r="C41" s="147">
        <f>C40/F40</f>
        <v>4.0479760119940027E-2</v>
      </c>
      <c r="D41" s="147">
        <f>D40/F40</f>
        <v>0.35382308845577209</v>
      </c>
      <c r="E41" s="162">
        <f>E40/F40</f>
        <v>0.60419790104947524</v>
      </c>
      <c r="F41" s="178">
        <f>E41+D41+C41+B41</f>
        <v>1</v>
      </c>
    </row>
    <row r="42" spans="1:9" ht="24" customHeight="1">
      <c r="A42" s="246" t="s">
        <v>18</v>
      </c>
      <c r="B42" s="143">
        <f>'pratiques religieuses'!B38+genre!B34+racisme!B30+famille!B39+environnement!B25+'différents âge vie'!B25+migrations!B25+maladie!B25+plurilinguisme!B25+'discours de haine'!B25+interculturalité!B25</f>
        <v>6</v>
      </c>
      <c r="C42" s="159">
        <f>'pratiques religieuses'!C38+genre!C34+racisme!C30+famille!C39+environnement!C25+'différents âge vie'!C25+migrations!C25+maladie!C25+plurilinguisme!C25+'discours de haine'!C25+interculturalité!C25</f>
        <v>37</v>
      </c>
      <c r="D42" s="159">
        <f>'pratiques religieuses'!D38+genre!D34+racisme!D30+famille!D39+environnement!D25+'différents âge vie'!D25+migrations!D25+maladie!D25+plurilinguisme!D25+'discours de haine'!D25+interculturalité!D25</f>
        <v>252</v>
      </c>
      <c r="E42" s="163">
        <f>'pratiques religieuses'!E38+genre!E34+racisme!E30+famille!E39+environnement!E25+'différents âge vie'!E25+migrations!E25+maladie!E25+plurilinguisme!E25+'discours de haine'!E25+interculturalité!E25</f>
        <v>372</v>
      </c>
      <c r="F42" s="179">
        <f>B42+C42+D42+E42</f>
        <v>667</v>
      </c>
      <c r="G42" t="s">
        <v>49</v>
      </c>
    </row>
    <row r="43" spans="1:9" ht="24" customHeight="1" thickBot="1">
      <c r="A43" s="247"/>
      <c r="B43" s="155">
        <f>B42/F42</f>
        <v>8.9955022488755615E-3</v>
      </c>
      <c r="C43" s="185">
        <f>C42/F42</f>
        <v>5.5472263868065967E-2</v>
      </c>
      <c r="D43" s="169">
        <f>D42/F42</f>
        <v>0.37781109445277361</v>
      </c>
      <c r="E43" s="169">
        <f>E42/F42</f>
        <v>0.5577211394302849</v>
      </c>
      <c r="F43" s="180">
        <f>E43+D43+C43+B43</f>
        <v>1</v>
      </c>
      <c r="H43" s="78">
        <f>E43</f>
        <v>0.5577211394302849</v>
      </c>
      <c r="I43" t="s">
        <v>45</v>
      </c>
    </row>
    <row r="44" spans="1:9" ht="14" customHeight="1">
      <c r="A44" s="240" t="s">
        <v>19</v>
      </c>
      <c r="B44" s="241"/>
      <c r="C44" s="241"/>
      <c r="D44" s="231"/>
      <c r="E44" s="231"/>
      <c r="F44" s="254"/>
      <c r="H44" s="78">
        <f>D43</f>
        <v>0.37781109445277361</v>
      </c>
      <c r="I44" t="s">
        <v>46</v>
      </c>
    </row>
    <row r="45" spans="1:9">
      <c r="A45" s="242"/>
      <c r="B45" s="243"/>
      <c r="C45" s="243"/>
      <c r="D45" s="232"/>
      <c r="E45" s="232"/>
      <c r="F45" s="255"/>
      <c r="H45" s="78">
        <f>C43</f>
        <v>5.5472263868065967E-2</v>
      </c>
      <c r="I45" t="s">
        <v>47</v>
      </c>
    </row>
    <row r="46" spans="1:9" ht="4" customHeight="1">
      <c r="A46" s="242"/>
      <c r="B46" s="243"/>
      <c r="C46" s="243"/>
      <c r="D46" s="232"/>
      <c r="E46" s="232"/>
      <c r="F46" s="255"/>
      <c r="I46" s="53"/>
    </row>
    <row r="47" spans="1:9" ht="5" customHeight="1" thickBot="1">
      <c r="A47" s="244"/>
      <c r="B47" s="245"/>
      <c r="C47" s="245"/>
      <c r="D47" s="253"/>
      <c r="E47" s="253"/>
      <c r="F47" s="256"/>
    </row>
    <row r="48" spans="1:9" ht="28" customHeight="1">
      <c r="A48" s="236" t="s">
        <v>21</v>
      </c>
      <c r="B48" s="196">
        <f>'pratiques religieuses'!B43+genre!B39+racisme!B35+famille!B44+environnement!B30+'différents âge vie'!B30+migrations!B30+maladie!B30+plurilinguisme!B30+'discours de haine'!B30+interculturalité!B30</f>
        <v>0</v>
      </c>
      <c r="C48" s="139">
        <f>'pratiques religieuses'!C43+genre!C39+racisme!C35+famille!C44+environnement!C30+'différents âge vie'!C30+migrations!C30+maladie!C30+plurilinguisme!C30+'discours de haine'!C30+interculturalité!C30</f>
        <v>6</v>
      </c>
      <c r="D48" s="164">
        <f>'pratiques religieuses'!D43+genre!D39+racisme!D35+famille!D44+environnement!D30+'différents âge vie'!D30+migrations!D30+maladie!D30+plurilinguisme!D30+'discours de haine'!D30+interculturalité!D30</f>
        <v>66</v>
      </c>
      <c r="E48" s="38">
        <f>'pratiques religieuses'!E43+genre!E39+racisme!E35+famille!E44+environnement!E30+'différents âge vie'!E30+migrations!E30+maladie!E30+plurilinguisme!E30+'discours de haine'!E30+interculturalité!E30</f>
        <v>596</v>
      </c>
      <c r="F48" s="58">
        <f>B48+C48+D48+E48</f>
        <v>668</v>
      </c>
    </row>
    <row r="49" spans="1:9" ht="28" customHeight="1" thickBot="1">
      <c r="A49" s="237"/>
      <c r="B49" s="155">
        <f>B48/F48</f>
        <v>0</v>
      </c>
      <c r="C49" s="173">
        <f>C48/F48</f>
        <v>8.9820359281437123E-3</v>
      </c>
      <c r="D49" s="174">
        <f>D48/F48</f>
        <v>9.880239520958084E-2</v>
      </c>
      <c r="E49" s="67">
        <f>E48/F48</f>
        <v>0.89221556886227549</v>
      </c>
      <c r="F49" s="66">
        <f>E49+D49+C49+B49</f>
        <v>1</v>
      </c>
      <c r="H49" s="78">
        <f>E49</f>
        <v>0.89221556886227549</v>
      </c>
      <c r="I49" t="s">
        <v>110</v>
      </c>
    </row>
    <row r="50" spans="1:9" ht="28" customHeight="1">
      <c r="A50" s="238" t="s">
        <v>22</v>
      </c>
      <c r="B50" s="145">
        <f>'pratiques religieuses'!B44+genre!B40+racisme!B36+famille!B45+environnement!B31+'différents âge vie'!B31+migrations!B31+maladie!B31+plurilinguisme!B31+'discours de haine'!B31+interculturalité!B31</f>
        <v>0</v>
      </c>
      <c r="C50" s="151">
        <f>'pratiques religieuses'!C44+genre!C40+racisme!C36+famille!C45+environnement!C31+'différents âge vie'!C31+migrations!C31+maladie!C31+plurilinguisme!C31+'discours de haine'!C31+interculturalité!C31</f>
        <v>3</v>
      </c>
      <c r="D50" s="170">
        <f>'pratiques religieuses'!D44+genre!D40+racisme!D36+famille!D45+environnement!D31+'différents âge vie'!D31+migrations!D31+maladie!D31+plurilinguisme!D31+'discours de haine'!D31+interculturalité!D31</f>
        <v>72</v>
      </c>
      <c r="E50" s="40">
        <f>'pratiques religieuses'!E44+genre!E40+racisme!E36+famille!E45+environnement!E31+'différents âge vie'!E31+migrations!E31+maladie!E31+plurilinguisme!E31+'discours de haine'!E31+interculturalité!E31</f>
        <v>593</v>
      </c>
      <c r="F50" s="57">
        <f>B50+C50+D50+E50</f>
        <v>668</v>
      </c>
    </row>
    <row r="51" spans="1:9" ht="28" customHeight="1" thickBot="1">
      <c r="A51" s="252"/>
      <c r="B51" s="156">
        <f>B50/F50</f>
        <v>0</v>
      </c>
      <c r="C51" s="152">
        <f>C50/F50</f>
        <v>4.4910179640718561E-3</v>
      </c>
      <c r="D51" s="171">
        <f>D50/F50</f>
        <v>0.10778443113772455</v>
      </c>
      <c r="E51" s="72">
        <f>E50/F50</f>
        <v>0.88772455089820357</v>
      </c>
      <c r="F51" s="70">
        <f>E51+D51+C51+B51</f>
        <v>0.99999999999999989</v>
      </c>
      <c r="H51" s="78">
        <f>E51</f>
        <v>0.88772455089820357</v>
      </c>
      <c r="I51" t="s">
        <v>111</v>
      </c>
    </row>
    <row r="52" spans="1:9" ht="28" customHeight="1">
      <c r="A52" s="236" t="s">
        <v>23</v>
      </c>
      <c r="B52" s="138">
        <f>'pratiques religieuses'!B45+genre!B41+racisme!B37+famille!B46+environnement!B32+'différents âge vie'!B32+migrations!B32+maladie!B32+plurilinguisme!B32+'discours de haine'!B32+interculturalité!B32</f>
        <v>0</v>
      </c>
      <c r="C52" s="139">
        <f>'pratiques religieuses'!C45+genre!C41+racisme!C37+famille!C46+environnement!C32+'différents âge vie'!C32+migrations!C32+maladie!C32+plurilinguisme!C32+'discours de haine'!C32+interculturalité!C32</f>
        <v>6</v>
      </c>
      <c r="D52" s="164">
        <f>'pratiques religieuses'!D45+genre!D41+racisme!D37+famille!D46+environnement!D32+'différents âge vie'!D32+migrations!D32+maladie!D32+plurilinguisme!D32+'discours de haine'!D32+interculturalité!D32</f>
        <v>109</v>
      </c>
      <c r="E52" s="38">
        <f>'pratiques religieuses'!E45+genre!E41+racisme!E37+famille!E46+environnement!E32+'différents âge vie'!E32+migrations!E32+maladie!E32+plurilinguisme!E32+'discours de haine'!E32+interculturalité!E32</f>
        <v>553</v>
      </c>
      <c r="F52" s="52">
        <f>B52+C52+D52+E52</f>
        <v>668</v>
      </c>
    </row>
    <row r="53" spans="1:9" ht="28" customHeight="1" thickBot="1">
      <c r="A53" s="237"/>
      <c r="B53" s="203">
        <f>B52/F52</f>
        <v>0</v>
      </c>
      <c r="C53" s="204">
        <f>C52/F52</f>
        <v>8.9820359281437123E-3</v>
      </c>
      <c r="D53" s="165">
        <f>D52/F52</f>
        <v>0.16317365269461079</v>
      </c>
      <c r="E53" s="73">
        <f>E52/F52</f>
        <v>0.82784431137724546</v>
      </c>
      <c r="F53" s="74">
        <f>E53+D53+C53+B53</f>
        <v>1</v>
      </c>
      <c r="H53" s="78">
        <f>E53</f>
        <v>0.82784431137724546</v>
      </c>
      <c r="I53" t="s">
        <v>112</v>
      </c>
    </row>
    <row r="54" spans="1:9" ht="11" customHeight="1">
      <c r="A54" s="50"/>
      <c r="B54" s="257"/>
      <c r="C54" s="259"/>
      <c r="D54" s="259"/>
      <c r="E54" s="259"/>
      <c r="F54" s="262"/>
    </row>
    <row r="55" spans="1:9" ht="4" customHeight="1">
      <c r="A55" s="48"/>
      <c r="B55" s="258"/>
      <c r="C55" s="260"/>
      <c r="D55" s="260"/>
      <c r="E55" s="260"/>
      <c r="F55" s="263"/>
    </row>
    <row r="56" spans="1:9" ht="22" customHeight="1">
      <c r="A56" s="51" t="s">
        <v>24</v>
      </c>
      <c r="B56" s="258"/>
      <c r="C56" s="260"/>
      <c r="D56" s="260"/>
      <c r="E56" s="260"/>
      <c r="F56" s="263"/>
    </row>
    <row r="57" spans="1:9" ht="11" customHeight="1" thickBot="1">
      <c r="A57" s="62" t="s">
        <v>20</v>
      </c>
      <c r="B57" s="258"/>
      <c r="C57" s="261"/>
      <c r="D57" s="261"/>
      <c r="E57" s="261"/>
      <c r="F57" s="264"/>
    </row>
    <row r="58" spans="1:9" ht="26" customHeight="1">
      <c r="A58" s="238" t="s">
        <v>25</v>
      </c>
      <c r="B58" s="160">
        <f>'pratiques religieuses'!B50+genre!B46+racisme!B42+famille!B51+environnement!B37+'différents âge vie'!B37+migrations!B37+maladie!B37+plurilinguisme!B37+'discours de haine'!B37+interculturalité!B37</f>
        <v>1</v>
      </c>
      <c r="C58" s="161">
        <f>'pratiques religieuses'!C50+genre!C46+racisme!C42+famille!C51+environnement!C37+'différents âge vie'!C37+migrations!C37+maladie!C37+plurilinguisme!C37+'discours de haine'!C37+interculturalité!C37</f>
        <v>6</v>
      </c>
      <c r="D58" s="161">
        <f>'pratiques religieuses'!D50+genre!D46+racisme!D42+famille!D51+environnement!D37+'différents âge vie'!D37+migrations!D37+maladie!D37+plurilinguisme!D37+'discours de haine'!D37+interculturalité!D37</f>
        <v>93</v>
      </c>
      <c r="E58" s="60">
        <f>'pratiques religieuses'!E50+genre!E46+racisme!E42+famille!E51+environnement!E37+'différents âge vie'!E37+migrations!E37+maladie!E37+plurilinguisme!E37+'discours de haine'!E37+interculturalité!E37</f>
        <v>567</v>
      </c>
      <c r="F58" s="57">
        <f>B58+C58+D58+E58</f>
        <v>667</v>
      </c>
    </row>
    <row r="59" spans="1:9" ht="26" customHeight="1" thickBot="1">
      <c r="A59" s="252"/>
      <c r="B59" s="157">
        <f>B58/F58</f>
        <v>1.4992503748125937E-3</v>
      </c>
      <c r="C59" s="162">
        <f>C58/F58</f>
        <v>8.9955022488755615E-3</v>
      </c>
      <c r="D59" s="166">
        <f>D58/F58</f>
        <v>0.13943028485757122</v>
      </c>
      <c r="E59" s="69">
        <f>E58/F58</f>
        <v>0.8500749625187406</v>
      </c>
      <c r="F59" s="70">
        <f>E59+D59+C59+B59</f>
        <v>1</v>
      </c>
      <c r="H59" s="78">
        <f>E59</f>
        <v>0.8500749625187406</v>
      </c>
      <c r="I59" t="s">
        <v>113</v>
      </c>
    </row>
    <row r="60" spans="1:9" ht="26" customHeight="1">
      <c r="A60" s="236" t="s">
        <v>96</v>
      </c>
      <c r="B60" s="143">
        <f>'pratiques religieuses'!B51+genre!B47+racisme!B43+famille!B52+environnement!B38+'différents âge vie'!B38+migrations!B38+maladie!B38+plurilinguisme!B38+'discours de haine'!B38+interculturalité!B38</f>
        <v>1</v>
      </c>
      <c r="C60" s="163">
        <f>'pratiques religieuses'!C51+genre!C47+racisme!C43+famille!C52+environnement!C38+'différents âge vie'!C38+migrations!C38+maladie!C38+plurilinguisme!C38+'discours de haine'!C38+interculturalité!C38</f>
        <v>1</v>
      </c>
      <c r="D60" s="163">
        <f>'pratiques religieuses'!D51+genre!D47+racisme!D43+famille!D52+environnement!D38+'différents âge vie'!D38+migrations!D38+maladie!D38+plurilinguisme!D38+'discours de haine'!D38+interculturalité!D38</f>
        <v>41</v>
      </c>
      <c r="E60" s="39">
        <f>'pratiques religieuses'!E51+genre!E47+racisme!E43+famille!E52+environnement!E38+'différents âge vie'!E38+migrations!E38+maladie!E38+plurilinguisme!E38+'discours de haine'!E38+interculturalité!E38</f>
        <v>197</v>
      </c>
      <c r="F60" s="52">
        <f>B60+C60+D60+E60</f>
        <v>240</v>
      </c>
      <c r="G60" s="135" t="s">
        <v>102</v>
      </c>
    </row>
    <row r="61" spans="1:9" ht="26" customHeight="1" thickBot="1">
      <c r="A61" s="248"/>
      <c r="B61" s="154">
        <f>B60/F60</f>
        <v>4.1666666666666666E-3</v>
      </c>
      <c r="C61" s="148">
        <f>C60/F60</f>
        <v>4.1666666666666666E-3</v>
      </c>
      <c r="D61" s="167">
        <f>D60/F60</f>
        <v>0.17083333333333334</v>
      </c>
      <c r="E61" s="136">
        <f>E60/F60</f>
        <v>0.8208333333333333</v>
      </c>
      <c r="F61" s="132">
        <f>E61+D61+C61+B61</f>
        <v>1</v>
      </c>
      <c r="G61" s="135"/>
    </row>
    <row r="62" spans="1:9" ht="26" customHeight="1">
      <c r="A62" s="249" t="s">
        <v>97</v>
      </c>
      <c r="B62" s="144">
        <f>'pratiques religieuses'!B52+genre!B48+racisme!B44+famille!B53+environnement!B39+'différents âge vie'!B39+migrations!B39+maladie!B39+plurilinguisme!B39+'discours de haine'!B39+interculturalité!B39</f>
        <v>15</v>
      </c>
      <c r="C62" s="149">
        <f>'pratiques religieuses'!C52+genre!C48+racisme!C44+famille!C53+environnement!C39+'différents âge vie'!C39+migrations!C39+maladie!C39+plurilinguisme!C39+'discours de haine'!C39+interculturalité!C39</f>
        <v>32</v>
      </c>
      <c r="D62" s="168">
        <f>'pratiques religieuses'!D52+genre!D48+racisme!D44+famille!D53+environnement!D39+'différents âge vie'!D39+migrations!D39+maladie!D39+plurilinguisme!D39+'discours de haine'!D39+interculturalité!D39</f>
        <v>136</v>
      </c>
      <c r="E62" s="141">
        <f>'pratiques religieuses'!E52+genre!E48+racisme!E44+famille!E53+environnement!E39+'différents âge vie'!E39+migrations!E39+maladie!E39+plurilinguisme!E39+'discours de haine'!E39+interculturalité!E39</f>
        <v>235</v>
      </c>
      <c r="F62" s="133">
        <f>B62+C62+D62+E62</f>
        <v>418</v>
      </c>
      <c r="G62" s="135"/>
    </row>
    <row r="63" spans="1:9" ht="26" customHeight="1" thickBot="1">
      <c r="A63" s="237"/>
      <c r="B63" s="155">
        <f>B62/F62</f>
        <v>3.5885167464114832E-2</v>
      </c>
      <c r="C63" s="150">
        <f>C62/F62</f>
        <v>7.6555023923444973E-2</v>
      </c>
      <c r="D63" s="169">
        <f>D62/F62</f>
        <v>0.32535885167464113</v>
      </c>
      <c r="E63" s="137">
        <f>E62/F62</f>
        <v>0.56220095693779903</v>
      </c>
      <c r="F63" s="66">
        <f>E63+D63+C63+B63</f>
        <v>0.99999999999999989</v>
      </c>
      <c r="G63" s="135"/>
    </row>
    <row r="64" spans="1:9" ht="26" customHeight="1">
      <c r="A64" s="238" t="s">
        <v>99</v>
      </c>
      <c r="B64" s="145">
        <f>'pratiques religieuses'!B53+genre!B49+racisme!B45+famille!B54+environnement!B40+'différents âge vie'!B40+migrations!B40+maladie!B40+plurilinguisme!B40+'discours de haine'!B40+interculturalité!B40</f>
        <v>0</v>
      </c>
      <c r="C64" s="151">
        <f>'pratiques religieuses'!C53+genre!C49+racisme!C45+famille!C54+environnement!C40+'différents âge vie'!C40+migrations!C40+maladie!C40+plurilinguisme!C40+'discours de haine'!C40+interculturalité!C40</f>
        <v>0</v>
      </c>
      <c r="D64" s="170">
        <f>'pratiques religieuses'!D53+genre!D49+racisme!D45+famille!D54+environnement!D40+'différents âge vie'!D40+migrations!D40+maladie!D40+plurilinguisme!D40+'discours de haine'!D40+interculturalité!D40</f>
        <v>22</v>
      </c>
      <c r="E64" s="40">
        <f>'pratiques religieuses'!E53+genre!E49+racisme!E45+famille!E54+environnement!E40+'différents âge vie'!E40+migrations!E40+maladie!E40+plurilinguisme!E40+'discours de haine'!E40+interculturalité!E40</f>
        <v>217</v>
      </c>
      <c r="F64" s="57">
        <f>B64+C64+D64+E64</f>
        <v>239</v>
      </c>
      <c r="G64" s="135" t="s">
        <v>102</v>
      </c>
    </row>
    <row r="65" spans="1:9" ht="26" customHeight="1" thickBot="1">
      <c r="A65" s="239"/>
      <c r="B65" s="156">
        <f>B64/F64</f>
        <v>0</v>
      </c>
      <c r="C65" s="152">
        <f>C64/F64</f>
        <v>0</v>
      </c>
      <c r="D65" s="171">
        <f>D64/F64</f>
        <v>9.2050209205020925E-2</v>
      </c>
      <c r="E65" s="72">
        <f>E64/F64</f>
        <v>0.90794979079497906</v>
      </c>
      <c r="F65" s="70">
        <f>E65+D65+C65+B65</f>
        <v>1</v>
      </c>
    </row>
    <row r="66" spans="1:9" ht="26" customHeight="1">
      <c r="A66" s="250" t="s">
        <v>98</v>
      </c>
      <c r="B66" s="146">
        <f>'pratiques religieuses'!B54+genre!B50+racisme!B46+famille!B55+environnement!B41+'différents âge vie'!B41+migrations!B41+maladie!B41+plurilinguisme!B41+'discours de haine'!B41+interculturalité!B41</f>
        <v>6</v>
      </c>
      <c r="C66" s="153">
        <f>'pratiques religieuses'!C54+genre!C50+racisme!C46+famille!C55+environnement!C41+'différents âge vie'!C41+migrations!C41+maladie!C41+plurilinguisme!C41+'discours de haine'!C41+interculturalité!C41</f>
        <v>18</v>
      </c>
      <c r="D66" s="172">
        <f>'pratiques religieuses'!D54+genre!D50+racisme!D46+famille!D55+environnement!D41+'différents âge vie'!D41+migrations!D41+maladie!D41+plurilinguisme!D41+'discours de haine'!D41+interculturalité!D41</f>
        <v>141</v>
      </c>
      <c r="E66" s="142">
        <f>'pratiques religieuses'!E54+genre!E50+racisme!E46+famille!E55+environnement!E41+'différents âge vie'!E41+migrations!E41+maladie!E41+plurilinguisme!E41+'discours de haine'!E41+interculturalité!E41</f>
        <v>253</v>
      </c>
      <c r="F66" s="134">
        <f>B66+C66+D66+E66</f>
        <v>418</v>
      </c>
    </row>
    <row r="67" spans="1:9" ht="26" customHeight="1" thickBot="1">
      <c r="A67" s="251"/>
      <c r="B67" s="157">
        <f>B66/F66</f>
        <v>1.4354066985645933E-2</v>
      </c>
      <c r="C67" s="147">
        <f>C66/F66</f>
        <v>4.3062200956937802E-2</v>
      </c>
      <c r="D67" s="162">
        <f>D66/F66</f>
        <v>0.33732057416267941</v>
      </c>
      <c r="E67" s="69">
        <f>E66/F66</f>
        <v>0.60526315789473684</v>
      </c>
      <c r="F67" s="75">
        <f>E67+D67+C67+B67</f>
        <v>0.99999999999999989</v>
      </c>
    </row>
    <row r="68" spans="1:9" ht="26" customHeight="1">
      <c r="A68" s="236" t="s">
        <v>26</v>
      </c>
      <c r="B68" s="143">
        <f>'pratiques religieuses'!B55+genre!B51+racisme!B47+famille!B56+environnement!B42+'différents âge vie'!B42+migrations!B42+maladie!B42+plurilinguisme!B42+'discours de haine'!B42+interculturalité!B42</f>
        <v>0</v>
      </c>
      <c r="C68" s="139">
        <f>'pratiques religieuses'!C55+genre!C51+racisme!C47+famille!C56+environnement!C42+'différents âge vie'!C42+migrations!C42+maladie!C42+plurilinguisme!C42+'discours de haine'!C42+interculturalité!C42</f>
        <v>10</v>
      </c>
      <c r="D68" s="139">
        <f>'pratiques religieuses'!D55+genre!D51+racisme!D47+famille!D56+environnement!D42+'différents âge vie'!D42+migrations!D42+maladie!D42+plurilinguisme!D42+'discours de haine'!D42+interculturalité!D42</f>
        <v>116</v>
      </c>
      <c r="E68" s="39">
        <f>'pratiques religieuses'!E55+genre!E51+racisme!E47+famille!E56+environnement!E42+'différents âge vie'!E42+migrations!E42+maladie!E42+plurilinguisme!E42+'discours de haine'!E42+interculturalité!E42</f>
        <v>515</v>
      </c>
      <c r="F68" s="58">
        <f>B68+C68+D68+E68</f>
        <v>641</v>
      </c>
    </row>
    <row r="69" spans="1:9" ht="28" customHeight="1" thickBot="1">
      <c r="A69" s="237"/>
      <c r="B69" s="158">
        <f>B68/F68</f>
        <v>0</v>
      </c>
      <c r="C69" s="140">
        <f>C68/F68</f>
        <v>1.5600624024960999E-2</v>
      </c>
      <c r="D69" s="140">
        <f>D68/F68</f>
        <v>0.18096723868954759</v>
      </c>
      <c r="E69" s="76">
        <f>E68/F68</f>
        <v>0.80343213728549145</v>
      </c>
      <c r="F69" s="77">
        <f>E69+D69+C69+B69</f>
        <v>1</v>
      </c>
      <c r="H69" s="78">
        <f>E69</f>
        <v>0.80343213728549145</v>
      </c>
      <c r="I69" s="82" t="s">
        <v>44</v>
      </c>
    </row>
  </sheetData>
  <mergeCells count="34">
    <mergeCell ref="F30:F33"/>
    <mergeCell ref="A1:D1"/>
    <mergeCell ref="B30:B33"/>
    <mergeCell ref="C30:C33"/>
    <mergeCell ref="D30:D33"/>
    <mergeCell ref="E30:E33"/>
    <mergeCell ref="A24:A25"/>
    <mergeCell ref="A28:A29"/>
    <mergeCell ref="A26:A27"/>
    <mergeCell ref="A22:A23"/>
    <mergeCell ref="A20:A21"/>
    <mergeCell ref="D44:D47"/>
    <mergeCell ref="E44:E47"/>
    <mergeCell ref="F44:F47"/>
    <mergeCell ref="B54:B57"/>
    <mergeCell ref="C54:C57"/>
    <mergeCell ref="D54:D57"/>
    <mergeCell ref="E54:E57"/>
    <mergeCell ref="F54:F57"/>
    <mergeCell ref="A34:A35"/>
    <mergeCell ref="A36:A37"/>
    <mergeCell ref="A40:A41"/>
    <mergeCell ref="A50:A51"/>
    <mergeCell ref="A58:A59"/>
    <mergeCell ref="A68:A69"/>
    <mergeCell ref="A48:A49"/>
    <mergeCell ref="A64:A65"/>
    <mergeCell ref="A44:C47"/>
    <mergeCell ref="A38:A39"/>
    <mergeCell ref="A42:A43"/>
    <mergeCell ref="A52:A53"/>
    <mergeCell ref="A60:A61"/>
    <mergeCell ref="A62:A63"/>
    <mergeCell ref="A66:A67"/>
  </mergeCells>
  <pageMargins left="0.7" right="0.7" top="0.75" bottom="0.75" header="0.3" footer="0.3"/>
  <pageSetup paperSize="9" scale="56" fitToHeight="2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A3299-0C3C-924C-8B59-1D73A08B2F21}">
  <sheetPr>
    <pageSetUpPr fitToPage="1"/>
  </sheetPr>
  <dimension ref="A1:P179"/>
  <sheetViews>
    <sheetView topLeftCell="A59" zoomScale="111" zoomScaleNormal="177" workbookViewId="0">
      <selection activeCell="L68" sqref="L68"/>
    </sheetView>
  </sheetViews>
  <sheetFormatPr baseColWidth="10" defaultRowHeight="16"/>
  <cols>
    <col min="1" max="1" width="21.33203125" customWidth="1"/>
    <col min="15" max="15" width="13.83203125" customWidth="1"/>
  </cols>
  <sheetData>
    <row r="1" spans="1:16" ht="34">
      <c r="B1" s="81" t="s">
        <v>43</v>
      </c>
      <c r="C1" s="81" t="s">
        <v>42</v>
      </c>
      <c r="D1" s="217" t="s">
        <v>118</v>
      </c>
      <c r="E1" s="81"/>
      <c r="F1">
        <f>RECAPITULATIF!F24</f>
        <v>667</v>
      </c>
      <c r="G1" s="81" t="s">
        <v>114</v>
      </c>
      <c r="L1" s="81"/>
      <c r="M1" s="81"/>
      <c r="N1" s="80"/>
      <c r="P1" s="81"/>
    </row>
    <row r="2" spans="1:16" ht="34">
      <c r="A2" s="206" t="s">
        <v>9</v>
      </c>
      <c r="B2" s="197">
        <f>RECAPITULATIF!B25</f>
        <v>1.4992503748125937E-3</v>
      </c>
      <c r="C2" s="197">
        <f>RECAPITULATIF!C25</f>
        <v>1.9490254872563718E-2</v>
      </c>
      <c r="D2" s="197">
        <f>RECAPITULATIF!D25+RECAPITULATIF!E25</f>
        <v>0.97901049475262369</v>
      </c>
      <c r="E2" s="197"/>
      <c r="F2" s="197">
        <v>1</v>
      </c>
      <c r="K2" s="206"/>
      <c r="L2" s="197"/>
      <c r="M2" s="197"/>
      <c r="N2" s="197"/>
      <c r="O2" s="197"/>
    </row>
    <row r="3" spans="1:16">
      <c r="A3" s="205"/>
      <c r="B3" s="197"/>
      <c r="C3" s="197"/>
      <c r="D3" s="197"/>
      <c r="E3" s="197"/>
    </row>
    <row r="24" spans="1:16">
      <c r="B24" t="s">
        <v>175</v>
      </c>
    </row>
    <row r="25" spans="1:16">
      <c r="B25" t="s">
        <v>176</v>
      </c>
    </row>
    <row r="28" spans="1:16" ht="34">
      <c r="B28" s="81" t="s">
        <v>43</v>
      </c>
      <c r="C28" s="81" t="s">
        <v>42</v>
      </c>
      <c r="D28" s="80" t="s">
        <v>118</v>
      </c>
      <c r="E28" s="81"/>
      <c r="F28">
        <f>RECAPITULATIF!F26</f>
        <v>667</v>
      </c>
      <c r="G28" s="81" t="s">
        <v>114</v>
      </c>
      <c r="L28" s="81"/>
      <c r="M28" s="81"/>
      <c r="N28" s="80"/>
      <c r="P28" s="81"/>
    </row>
    <row r="29" spans="1:16" ht="34">
      <c r="A29" s="206" t="s">
        <v>10</v>
      </c>
      <c r="B29" s="197">
        <f>RECAPITULATIF!B27</f>
        <v>1.4992503748125937E-3</v>
      </c>
      <c r="C29" s="197">
        <f>RECAPITULATIF!C27</f>
        <v>2.0989505247376312E-2</v>
      </c>
      <c r="D29" s="197">
        <f>RECAPITULATIF!D27+RECAPITULATIF!E27</f>
        <v>0.97751124437781112</v>
      </c>
      <c r="E29" s="197"/>
      <c r="F29" s="197">
        <f>B29+C29+D29+E29</f>
        <v>1</v>
      </c>
      <c r="K29" s="206"/>
      <c r="L29" s="197"/>
      <c r="M29" s="197"/>
      <c r="N29" s="197"/>
      <c r="O29" s="197"/>
    </row>
    <row r="51" spans="1:7">
      <c r="B51" t="s">
        <v>175</v>
      </c>
    </row>
    <row r="52" spans="1:7">
      <c r="B52" t="s">
        <v>119</v>
      </c>
    </row>
    <row r="54" spans="1:7" ht="34">
      <c r="B54" s="81" t="s">
        <v>43</v>
      </c>
      <c r="C54" s="81" t="s">
        <v>42</v>
      </c>
      <c r="D54" s="80" t="s">
        <v>118</v>
      </c>
      <c r="E54" s="81"/>
      <c r="F54">
        <f>RECAPITULATIF!F36</f>
        <v>667</v>
      </c>
      <c r="G54" s="81" t="s">
        <v>114</v>
      </c>
    </row>
    <row r="55" spans="1:7" ht="51" customHeight="1">
      <c r="A55" s="206" t="s">
        <v>15</v>
      </c>
      <c r="B55" s="197">
        <f>RECAPITULATIF!B37</f>
        <v>2.9985007496251873E-3</v>
      </c>
      <c r="C55" s="197">
        <f>RECAPITULATIF!C37</f>
        <v>1.7991004497751123E-2</v>
      </c>
      <c r="D55" s="197">
        <f>RECAPITULATIF!D37+RECAPITULATIF!E37</f>
        <v>0.97901049475262369</v>
      </c>
      <c r="E55" s="197"/>
      <c r="F55" s="197">
        <v>1</v>
      </c>
    </row>
    <row r="56" spans="1:7">
      <c r="A56" s="206"/>
      <c r="B56" s="197"/>
      <c r="C56" s="197"/>
      <c r="D56" s="197"/>
      <c r="E56" s="197"/>
      <c r="F56" s="197"/>
    </row>
    <row r="76" spans="1:7">
      <c r="B76" t="s">
        <v>177</v>
      </c>
    </row>
    <row r="77" spans="1:7">
      <c r="B77" t="s">
        <v>178</v>
      </c>
    </row>
    <row r="79" spans="1:7" ht="34">
      <c r="B79" s="81" t="s">
        <v>43</v>
      </c>
      <c r="C79" s="81" t="s">
        <v>42</v>
      </c>
      <c r="D79" s="80" t="s">
        <v>118</v>
      </c>
      <c r="E79" s="81"/>
      <c r="F79">
        <f>RECAPITULATIF!F38</f>
        <v>667</v>
      </c>
      <c r="G79" s="81" t="s">
        <v>114</v>
      </c>
    </row>
    <row r="80" spans="1:7" ht="51">
      <c r="A80" s="206" t="s">
        <v>16</v>
      </c>
      <c r="B80" s="197">
        <f>RECAPITULATIF!B39</f>
        <v>5.9970014992503746E-3</v>
      </c>
      <c r="C80" s="197">
        <f>RECAPITULATIF!C39</f>
        <v>2.8485757121439279E-2</v>
      </c>
      <c r="D80" s="197">
        <f>RECAPITULATIF!D39+RECAPITULATIF!E39</f>
        <v>0.96551724137931028</v>
      </c>
      <c r="E80" s="197"/>
      <c r="F80" s="197">
        <v>1</v>
      </c>
    </row>
    <row r="81" spans="1:1">
      <c r="A81" s="206"/>
    </row>
    <row r="82" spans="1:1">
      <c r="A82" s="206"/>
    </row>
    <row r="101" spans="1:7">
      <c r="B101" t="s">
        <v>179</v>
      </c>
    </row>
    <row r="102" spans="1:7">
      <c r="B102" t="s">
        <v>180</v>
      </c>
    </row>
    <row r="104" spans="1:7" ht="34">
      <c r="B104" s="81" t="s">
        <v>43</v>
      </c>
      <c r="C104" s="81" t="s">
        <v>42</v>
      </c>
      <c r="D104" s="80" t="s">
        <v>118</v>
      </c>
      <c r="E104" s="81"/>
      <c r="F104">
        <f>RECAPITULATIF!F48</f>
        <v>668</v>
      </c>
      <c r="G104" s="81" t="s">
        <v>114</v>
      </c>
    </row>
    <row r="105" spans="1:7" ht="51">
      <c r="A105" s="206" t="s">
        <v>21</v>
      </c>
      <c r="B105" s="197">
        <f>RECAPITULATIF!B49</f>
        <v>0</v>
      </c>
      <c r="C105" s="197">
        <f>RECAPITULATIF!C49</f>
        <v>8.9820359281437123E-3</v>
      </c>
      <c r="D105" s="197">
        <f>RECAPITULATIF!D49+RECAPITULATIF!E49</f>
        <v>0.99101796407185638</v>
      </c>
      <c r="E105" s="197"/>
    </row>
    <row r="106" spans="1:7">
      <c r="A106" s="206"/>
    </row>
    <row r="126" spans="2:2">
      <c r="B126" t="s">
        <v>179</v>
      </c>
    </row>
    <row r="127" spans="2:2">
      <c r="B127" t="s">
        <v>181</v>
      </c>
    </row>
    <row r="129" spans="1:7" ht="34">
      <c r="B129" s="81" t="s">
        <v>43</v>
      </c>
      <c r="C129" s="81" t="s">
        <v>42</v>
      </c>
      <c r="D129" s="80" t="s">
        <v>118</v>
      </c>
      <c r="E129" s="81"/>
      <c r="F129">
        <f>RECAPITULATIF!F68</f>
        <v>641</v>
      </c>
      <c r="G129" s="81" t="s">
        <v>114</v>
      </c>
    </row>
    <row r="130" spans="1:7" ht="34">
      <c r="A130" s="206" t="s">
        <v>115</v>
      </c>
      <c r="B130" s="197">
        <f>RECAPITULATIF!B69</f>
        <v>0</v>
      </c>
      <c r="C130" s="197">
        <f>RECAPITULATIF!C69</f>
        <v>1.5600624024960999E-2</v>
      </c>
      <c r="D130" s="197">
        <f>RECAPITULATIF!D69+RECAPITULATIF!E69</f>
        <v>0.98439937597503901</v>
      </c>
      <c r="E130" s="197"/>
      <c r="F130" s="197">
        <v>1</v>
      </c>
    </row>
    <row r="131" spans="1:7">
      <c r="A131" s="206"/>
    </row>
    <row r="151" spans="1:7">
      <c r="B151" t="s">
        <v>179</v>
      </c>
    </row>
    <row r="152" spans="1:7">
      <c r="B152" t="s">
        <v>120</v>
      </c>
    </row>
    <row r="155" spans="1:7" ht="34">
      <c r="B155" s="81" t="s">
        <v>43</v>
      </c>
      <c r="C155" s="81" t="s">
        <v>42</v>
      </c>
      <c r="D155" s="80" t="s">
        <v>118</v>
      </c>
      <c r="E155" s="81"/>
      <c r="F155">
        <f>RECAPITULATIF!F42</f>
        <v>667</v>
      </c>
      <c r="G155" s="81" t="s">
        <v>114</v>
      </c>
    </row>
    <row r="156" spans="1:7" ht="54" customHeight="1">
      <c r="A156" s="275" t="s">
        <v>18</v>
      </c>
      <c r="B156" s="78">
        <f>RECAPITULATIF!B43</f>
        <v>8.9955022488755615E-3</v>
      </c>
      <c r="C156" s="78">
        <f>RECAPITULATIF!C43</f>
        <v>5.5472263868065967E-2</v>
      </c>
      <c r="D156" s="78">
        <f>RECAPITULATIF!D43+RECAPITULATIF!E43</f>
        <v>0.93553223388305851</v>
      </c>
      <c r="E156" s="78"/>
      <c r="F156" s="78">
        <f>B156+C156+D156+E156</f>
        <v>1</v>
      </c>
    </row>
    <row r="157" spans="1:7" ht="3" hidden="1" customHeight="1">
      <c r="A157" s="275"/>
    </row>
    <row r="178" spans="2:2">
      <c r="B178" t="s">
        <v>179</v>
      </c>
    </row>
    <row r="179" spans="2:2">
      <c r="B179" t="s">
        <v>182</v>
      </c>
    </row>
  </sheetData>
  <mergeCells count="1">
    <mergeCell ref="A156:A157"/>
  </mergeCells>
  <pageMargins left="0.7" right="0.7" top="0.75" bottom="0.75" header="0.3" footer="0.3"/>
  <pageSetup paperSize="9" scale="58" fitToHeight="5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CF63B-D099-324D-B0AB-7C1C18794917}">
  <dimension ref="A1:M85"/>
  <sheetViews>
    <sheetView topLeftCell="A5" zoomScale="75" zoomScaleNormal="50" workbookViewId="0">
      <selection activeCell="D13" sqref="D13"/>
    </sheetView>
  </sheetViews>
  <sheetFormatPr baseColWidth="10" defaultRowHeight="16"/>
  <cols>
    <col min="1" max="1" width="45.6640625" customWidth="1"/>
    <col min="2" max="5" width="13.83203125" customWidth="1"/>
    <col min="6" max="6" width="15.33203125" customWidth="1"/>
    <col min="7" max="7" width="12.6640625" customWidth="1"/>
    <col min="8" max="8" width="25" customWidth="1"/>
    <col min="9" max="9" width="13.6640625" customWidth="1"/>
    <col min="10" max="10" width="12.83203125" customWidth="1"/>
    <col min="11" max="11" width="20.33203125" customWidth="1"/>
    <col min="12" max="12" width="16.6640625" customWidth="1"/>
  </cols>
  <sheetData>
    <row r="1" spans="1:13" ht="24">
      <c r="A1" s="235" t="s">
        <v>53</v>
      </c>
      <c r="B1" s="235"/>
      <c r="C1" s="235"/>
      <c r="D1" s="235"/>
    </row>
    <row r="2" spans="1:13" ht="45" customHeight="1">
      <c r="A2" s="24" t="s">
        <v>30</v>
      </c>
      <c r="B2" s="24" t="s">
        <v>51</v>
      </c>
      <c r="C2" s="24" t="s">
        <v>6</v>
      </c>
      <c r="D2" s="24" t="s">
        <v>7</v>
      </c>
      <c r="E2" s="24" t="s">
        <v>27</v>
      </c>
      <c r="F2" s="32" t="s">
        <v>66</v>
      </c>
      <c r="G2" s="1"/>
      <c r="H2" s="1"/>
    </row>
    <row r="3" spans="1:13" ht="30" customHeight="1">
      <c r="A3" s="109" t="s">
        <v>3</v>
      </c>
      <c r="B3" s="22" t="s">
        <v>52</v>
      </c>
      <c r="C3" s="22">
        <v>5</v>
      </c>
      <c r="D3" s="22">
        <v>4</v>
      </c>
      <c r="E3" s="22" t="s">
        <v>28</v>
      </c>
      <c r="F3" s="23">
        <v>1</v>
      </c>
      <c r="G3" s="1"/>
      <c r="H3" s="211" t="s">
        <v>121</v>
      </c>
      <c r="I3" s="21" t="s">
        <v>43</v>
      </c>
      <c r="J3" s="21" t="s">
        <v>42</v>
      </c>
      <c r="K3" s="214" t="s">
        <v>118</v>
      </c>
      <c r="L3" s="215"/>
      <c r="M3" s="215"/>
    </row>
    <row r="4" spans="1:13" ht="34" customHeight="1">
      <c r="A4" s="110" t="s">
        <v>63</v>
      </c>
      <c r="B4" s="21" t="s">
        <v>57</v>
      </c>
      <c r="C4" s="21">
        <v>8</v>
      </c>
      <c r="D4" s="21">
        <v>6</v>
      </c>
      <c r="E4" s="21" t="s">
        <v>28</v>
      </c>
      <c r="F4" s="23">
        <v>1</v>
      </c>
      <c r="G4" s="1"/>
      <c r="H4" s="210" t="s">
        <v>15</v>
      </c>
      <c r="I4" s="211">
        <f>I5/M5</f>
        <v>6.5359477124183009E-3</v>
      </c>
      <c r="J4" s="212">
        <f>J5/M5</f>
        <v>1.9607843137254902E-2</v>
      </c>
      <c r="K4" s="212">
        <f>K5/M5</f>
        <v>0.97385620915032678</v>
      </c>
      <c r="L4" s="212"/>
      <c r="M4" s="213">
        <f>I4+J4+K4+L4</f>
        <v>1</v>
      </c>
    </row>
    <row r="5" spans="1:13" ht="30" customHeight="1">
      <c r="A5" s="110" t="s">
        <v>56</v>
      </c>
      <c r="B5" s="21" t="s">
        <v>57</v>
      </c>
      <c r="C5" s="21">
        <v>8</v>
      </c>
      <c r="D5" s="21">
        <v>8</v>
      </c>
      <c r="E5" s="21" t="s">
        <v>28</v>
      </c>
      <c r="F5" s="23">
        <v>1</v>
      </c>
      <c r="G5" s="1"/>
      <c r="I5" s="208">
        <f>B31</f>
        <v>1</v>
      </c>
      <c r="J5" s="208">
        <f>C31</f>
        <v>3</v>
      </c>
      <c r="K5" s="208">
        <f>D31+E31</f>
        <v>149</v>
      </c>
      <c r="L5" s="209"/>
      <c r="M5" s="209">
        <f>J5+K5+L5+I5</f>
        <v>153</v>
      </c>
    </row>
    <row r="6" spans="1:13" ht="30" customHeight="1">
      <c r="A6" s="110" t="s">
        <v>58</v>
      </c>
      <c r="B6" s="21" t="s">
        <v>57</v>
      </c>
      <c r="C6" s="21">
        <v>12</v>
      </c>
      <c r="D6" s="21">
        <v>12</v>
      </c>
      <c r="E6" s="21" t="s">
        <v>28</v>
      </c>
      <c r="F6" s="23">
        <v>1</v>
      </c>
      <c r="G6" s="1"/>
    </row>
    <row r="7" spans="1:13" ht="30" customHeight="1">
      <c r="A7" s="111" t="s">
        <v>92</v>
      </c>
      <c r="B7" s="30" t="s">
        <v>84</v>
      </c>
      <c r="C7" s="30">
        <v>7</v>
      </c>
      <c r="D7" s="21">
        <v>6</v>
      </c>
      <c r="E7" s="22" t="s">
        <v>28</v>
      </c>
      <c r="F7" s="97">
        <v>1</v>
      </c>
      <c r="G7" s="1"/>
      <c r="H7" s="206"/>
      <c r="I7" s="197"/>
      <c r="J7" s="197"/>
      <c r="K7" s="197"/>
      <c r="L7" s="197"/>
    </row>
    <row r="8" spans="1:13" ht="30" customHeight="1">
      <c r="A8" s="111" t="s">
        <v>116</v>
      </c>
      <c r="B8" s="30" t="s">
        <v>117</v>
      </c>
      <c r="C8" s="30">
        <v>7</v>
      </c>
      <c r="D8" s="21">
        <v>6</v>
      </c>
      <c r="E8" s="22" t="s">
        <v>28</v>
      </c>
      <c r="F8" s="97">
        <v>1</v>
      </c>
      <c r="G8" s="1"/>
      <c r="H8" s="206"/>
      <c r="I8" s="197"/>
      <c r="J8" s="197"/>
      <c r="K8" s="197"/>
      <c r="L8" s="197"/>
      <c r="M8" s="197"/>
    </row>
    <row r="9" spans="1:13" ht="30" customHeight="1">
      <c r="A9" s="111" t="s">
        <v>134</v>
      </c>
      <c r="B9" s="30" t="s">
        <v>84</v>
      </c>
      <c r="C9" s="30">
        <v>22</v>
      </c>
      <c r="D9" s="21">
        <v>22</v>
      </c>
      <c r="E9" s="22" t="s">
        <v>28</v>
      </c>
      <c r="F9" s="97">
        <v>1</v>
      </c>
      <c r="G9" s="1"/>
    </row>
    <row r="10" spans="1:13" ht="30" customHeight="1">
      <c r="A10" s="111" t="s">
        <v>161</v>
      </c>
      <c r="B10" s="30" t="s">
        <v>117</v>
      </c>
      <c r="C10" s="30">
        <v>9</v>
      </c>
      <c r="D10" s="21">
        <v>4</v>
      </c>
      <c r="E10" s="22" t="s">
        <v>28</v>
      </c>
      <c r="F10" s="97">
        <v>1</v>
      </c>
      <c r="G10" s="1"/>
    </row>
    <row r="11" spans="1:13" ht="30" customHeight="1">
      <c r="A11" s="111" t="s">
        <v>163</v>
      </c>
      <c r="B11" s="30" t="s">
        <v>84</v>
      </c>
      <c r="C11" s="30">
        <v>22</v>
      </c>
      <c r="D11" s="21">
        <v>22</v>
      </c>
      <c r="E11" s="22" t="s">
        <v>28</v>
      </c>
      <c r="F11" s="97">
        <v>1</v>
      </c>
      <c r="G11" s="1"/>
    </row>
    <row r="12" spans="1:13" ht="30" customHeight="1">
      <c r="A12" s="111" t="s">
        <v>167</v>
      </c>
      <c r="B12" s="30" t="s">
        <v>117</v>
      </c>
      <c r="C12" s="30">
        <v>10</v>
      </c>
      <c r="D12" s="21">
        <v>7</v>
      </c>
      <c r="E12" s="22" t="s">
        <v>28</v>
      </c>
      <c r="F12" s="225">
        <v>1</v>
      </c>
      <c r="G12" s="1"/>
    </row>
    <row r="13" spans="1:13" ht="30" customHeight="1">
      <c r="A13" s="111" t="s">
        <v>169</v>
      </c>
      <c r="B13" s="30" t="s">
        <v>84</v>
      </c>
      <c r="C13" s="30">
        <v>23</v>
      </c>
      <c r="D13" s="21">
        <v>17</v>
      </c>
      <c r="E13" s="22" t="s">
        <v>28</v>
      </c>
      <c r="F13" s="225">
        <v>1</v>
      </c>
      <c r="G13" s="1"/>
    </row>
    <row r="14" spans="1:13" ht="30" customHeight="1">
      <c r="A14" s="111" t="s">
        <v>185</v>
      </c>
      <c r="B14" s="30" t="s">
        <v>117</v>
      </c>
      <c r="C14" s="30">
        <v>7</v>
      </c>
      <c r="D14" s="21">
        <v>7</v>
      </c>
      <c r="E14" s="22" t="s">
        <v>28</v>
      </c>
      <c r="F14" s="225">
        <v>1</v>
      </c>
      <c r="G14" s="1"/>
    </row>
    <row r="15" spans="1:13" ht="30" customHeight="1">
      <c r="A15" s="111" t="s">
        <v>190</v>
      </c>
      <c r="B15" s="30" t="s">
        <v>52</v>
      </c>
      <c r="C15" s="30">
        <v>8</v>
      </c>
      <c r="D15" s="21">
        <v>8</v>
      </c>
      <c r="E15" s="22" t="s">
        <v>28</v>
      </c>
      <c r="F15" s="225">
        <v>1</v>
      </c>
      <c r="G15" s="1"/>
    </row>
    <row r="16" spans="1:13" ht="30" customHeight="1">
      <c r="A16" s="111" t="s">
        <v>195</v>
      </c>
      <c r="B16" s="30" t="s">
        <v>117</v>
      </c>
      <c r="C16" s="30">
        <v>12</v>
      </c>
      <c r="D16" s="21">
        <v>12</v>
      </c>
      <c r="E16" s="22" t="s">
        <v>28</v>
      </c>
      <c r="F16" s="225">
        <v>1</v>
      </c>
      <c r="G16" s="1"/>
    </row>
    <row r="17" spans="1:13" ht="30" customHeight="1">
      <c r="A17" s="33" t="s">
        <v>196</v>
      </c>
      <c r="B17" s="30" t="s">
        <v>117</v>
      </c>
      <c r="C17" s="30">
        <v>12</v>
      </c>
      <c r="D17" s="21">
        <v>12</v>
      </c>
      <c r="E17" s="22" t="s">
        <v>28</v>
      </c>
      <c r="F17" s="97">
        <v>1</v>
      </c>
      <c r="G17" s="1"/>
    </row>
    <row r="18" spans="1:13" ht="30" customHeight="1">
      <c r="A18" s="117" t="s">
        <v>29</v>
      </c>
      <c r="B18" s="118"/>
      <c r="C18" s="119">
        <f>SUM(C3:C17)</f>
        <v>172</v>
      </c>
      <c r="D18" s="119">
        <f>SUM(D3:D17)</f>
        <v>153</v>
      </c>
      <c r="E18" s="119"/>
      <c r="F18" s="119">
        <f>SUM(F3:F17)</f>
        <v>15</v>
      </c>
      <c r="G18" s="1"/>
    </row>
    <row r="19" spans="1:13" ht="30" customHeight="1" thickBot="1">
      <c r="A19" s="1"/>
      <c r="B19" s="1"/>
      <c r="C19" s="1"/>
      <c r="D19" s="1"/>
      <c r="E19" s="1"/>
      <c r="F19" s="1"/>
      <c r="G19" s="1"/>
    </row>
    <row r="20" spans="1:13" ht="30" customHeight="1" thickBot="1">
      <c r="A20" s="2"/>
      <c r="B20" s="3">
        <v>0</v>
      </c>
      <c r="C20" s="4">
        <v>1</v>
      </c>
      <c r="D20" s="5">
        <v>2</v>
      </c>
      <c r="E20" s="6">
        <v>3</v>
      </c>
      <c r="F20" s="18" t="s">
        <v>29</v>
      </c>
      <c r="G20" s="1"/>
    </row>
    <row r="21" spans="1:13" ht="22" customHeight="1" thickBot="1">
      <c r="A21" s="7" t="s">
        <v>8</v>
      </c>
      <c r="B21" s="28"/>
      <c r="C21" s="28">
        <f>1+4+1+2+1</f>
        <v>9</v>
      </c>
      <c r="D21" s="28">
        <f>1+1+4+10+1+10+2+10+4+3+5</f>
        <v>51</v>
      </c>
      <c r="E21" s="28">
        <f>3+7+5+2+6+6+12+2+8+4+5+3+5+12+6</f>
        <v>86</v>
      </c>
      <c r="F21" s="20">
        <f>B21+C21+D21+E21</f>
        <v>146</v>
      </c>
      <c r="G21" s="1"/>
    </row>
    <row r="22" spans="1:13" ht="22" customHeight="1" thickBot="1">
      <c r="A22" s="7" t="s">
        <v>76</v>
      </c>
      <c r="B22" s="28"/>
      <c r="C22" s="28">
        <v>3</v>
      </c>
      <c r="D22" s="28">
        <v>3</v>
      </c>
      <c r="E22" s="28">
        <v>1</v>
      </c>
      <c r="F22" s="20">
        <f t="shared" ref="F22:F51" si="0">B22+C22+D22+E22</f>
        <v>7</v>
      </c>
      <c r="G22" s="1"/>
      <c r="H22" s="211" t="s">
        <v>121</v>
      </c>
      <c r="I22" s="21" t="s">
        <v>43</v>
      </c>
      <c r="J22" s="21" t="s">
        <v>42</v>
      </c>
      <c r="K22" s="214" t="s">
        <v>118</v>
      </c>
      <c r="L22" s="215"/>
      <c r="M22" s="215"/>
    </row>
    <row r="23" spans="1:13" ht="28" customHeight="1" thickBot="1">
      <c r="A23" s="8" t="s">
        <v>9</v>
      </c>
      <c r="B23" s="29">
        <f>1</f>
        <v>1</v>
      </c>
      <c r="C23" s="29">
        <f>1+2+2</f>
        <v>5</v>
      </c>
      <c r="D23" s="29">
        <f>3+6+1+5+1+7+10+3+1+1+3</f>
        <v>41</v>
      </c>
      <c r="E23" s="29">
        <f>4+5+6+5+6+6+17+3+13+5+2+5+4+7+11+7</f>
        <v>106</v>
      </c>
      <c r="F23" s="20">
        <f t="shared" si="0"/>
        <v>153</v>
      </c>
      <c r="G23" s="1"/>
      <c r="H23" s="210" t="s">
        <v>16</v>
      </c>
      <c r="I23" s="211">
        <f>I24/M24</f>
        <v>6.5359477124183009E-3</v>
      </c>
      <c r="J23" s="212">
        <f>J24/M24</f>
        <v>2.6143790849673203E-2</v>
      </c>
      <c r="K23" s="212">
        <f>K24/M24</f>
        <v>0.9673202614379085</v>
      </c>
      <c r="L23" s="212"/>
      <c r="M23" s="213">
        <f>I23+J23+K23+L23</f>
        <v>1</v>
      </c>
    </row>
    <row r="24" spans="1:13" ht="22" customHeight="1" thickBot="1">
      <c r="A24" s="9" t="s">
        <v>10</v>
      </c>
      <c r="B24" s="25"/>
      <c r="C24" s="25">
        <f>1+1</f>
        <v>2</v>
      </c>
      <c r="D24" s="25">
        <f>1+2+4+1+2+2+4+1+10+1+2+5+1+1+1+3</f>
        <v>41</v>
      </c>
      <c r="E24" s="25">
        <f>3+6+8+5+4+4+18+3+11+4+12+6+7+11+8</f>
        <v>110</v>
      </c>
      <c r="F24" s="20">
        <f t="shared" si="0"/>
        <v>153</v>
      </c>
      <c r="G24" s="1"/>
      <c r="I24" s="208">
        <f>B32</f>
        <v>1</v>
      </c>
      <c r="J24" s="208">
        <f>C32</f>
        <v>4</v>
      </c>
      <c r="K24" s="208">
        <f>D32+E32</f>
        <v>148</v>
      </c>
      <c r="L24" s="209"/>
      <c r="M24" s="209">
        <f>J24+K24+L24+I24</f>
        <v>153</v>
      </c>
    </row>
    <row r="25" spans="1:13" ht="22" customHeight="1" thickBot="1">
      <c r="A25" s="10" t="s">
        <v>11</v>
      </c>
      <c r="B25" s="27"/>
      <c r="C25" s="27">
        <f>1+1</f>
        <v>2</v>
      </c>
      <c r="D25" s="27">
        <f>1+2+1+6+1+9+1+9+1+1+2+1</f>
        <v>35</v>
      </c>
      <c r="E25" s="27">
        <f>3+8+10+6+5+6+15+3+13+6+8+6+7+9+11</f>
        <v>116</v>
      </c>
      <c r="F25" s="20">
        <f t="shared" si="0"/>
        <v>153</v>
      </c>
    </row>
    <row r="26" spans="1:13" ht="10" customHeight="1">
      <c r="A26" s="14"/>
      <c r="B26" s="231"/>
      <c r="C26" s="231"/>
      <c r="D26" s="231"/>
      <c r="E26" s="231"/>
      <c r="F26" s="231"/>
    </row>
    <row r="27" spans="1:13" ht="4" customHeight="1">
      <c r="A27" s="14"/>
      <c r="B27" s="232"/>
      <c r="C27" s="232"/>
      <c r="D27" s="232"/>
      <c r="E27" s="232"/>
      <c r="F27" s="232"/>
    </row>
    <row r="28" spans="1:13" ht="16" customHeight="1">
      <c r="A28" s="15" t="s">
        <v>12</v>
      </c>
      <c r="B28" s="232"/>
      <c r="C28" s="232"/>
      <c r="D28" s="232"/>
      <c r="E28" s="232"/>
      <c r="F28" s="232"/>
      <c r="H28" s="206"/>
      <c r="I28" s="197"/>
      <c r="J28" s="197"/>
      <c r="K28" s="197"/>
      <c r="L28" s="197"/>
      <c r="M28" s="197"/>
    </row>
    <row r="29" spans="1:13" ht="11" customHeight="1" thickBot="1">
      <c r="A29" s="16" t="s">
        <v>13</v>
      </c>
      <c r="B29" s="233"/>
      <c r="C29" s="233"/>
      <c r="D29" s="233"/>
      <c r="E29" s="233"/>
      <c r="F29" s="233"/>
      <c r="H29" s="206"/>
    </row>
    <row r="30" spans="1:13" ht="22" customHeight="1" thickBot="1">
      <c r="A30" s="10" t="s">
        <v>14</v>
      </c>
      <c r="B30" s="27">
        <v>1</v>
      </c>
      <c r="C30" s="27">
        <f>1+2</f>
        <v>3</v>
      </c>
      <c r="D30" s="27">
        <f>2+4+1+1+1+1+13+3+7+2+1+2</f>
        <v>38</v>
      </c>
      <c r="E30" s="27">
        <f>4+6+6+5+5+5+21+4+9+4+8+5+7+12+10</f>
        <v>111</v>
      </c>
      <c r="F30" s="20">
        <f t="shared" si="0"/>
        <v>153</v>
      </c>
      <c r="H30" s="206"/>
    </row>
    <row r="31" spans="1:13" ht="22" customHeight="1" thickBot="1">
      <c r="A31" s="9" t="s">
        <v>15</v>
      </c>
      <c r="B31" s="25">
        <f>1</f>
        <v>1</v>
      </c>
      <c r="C31" s="25">
        <f>1+2</f>
        <v>3</v>
      </c>
      <c r="D31" s="25">
        <f>2+3+8+1+2+4+10+8+2+1+1+3</f>
        <v>45</v>
      </c>
      <c r="E31" s="25">
        <f>2+5+3+5+6+4+18+4+11+7+7+5+7+11+9</f>
        <v>104</v>
      </c>
      <c r="F31" s="20">
        <f t="shared" si="0"/>
        <v>153</v>
      </c>
    </row>
    <row r="32" spans="1:13" ht="22" customHeight="1" thickBot="1">
      <c r="A32" s="10" t="s">
        <v>16</v>
      </c>
      <c r="B32" s="27">
        <f>1</f>
        <v>1</v>
      </c>
      <c r="C32" s="27">
        <f>1+1+1+1</f>
        <v>4</v>
      </c>
      <c r="D32" s="27">
        <f>1+3+7+2+1+1+6+2+14+1+6+4+2+2+5</f>
        <v>57</v>
      </c>
      <c r="E32" s="27">
        <f>3+5+4+4+5+4+16+2+6+6+11+3+5+10+7</f>
        <v>91</v>
      </c>
      <c r="F32" s="20">
        <f t="shared" si="0"/>
        <v>153</v>
      </c>
    </row>
    <row r="33" spans="1:6" ht="22" customHeight="1" thickBot="1">
      <c r="A33" s="9" t="s">
        <v>17</v>
      </c>
      <c r="B33" s="25">
        <f>1</f>
        <v>1</v>
      </c>
      <c r="C33" s="25">
        <f>2+4+3</f>
        <v>9</v>
      </c>
      <c r="D33" s="25">
        <f>1+6+3+3+10+1+10+1+6+3+2+5</f>
        <v>51</v>
      </c>
      <c r="E33" s="25">
        <f>3+8+4+3+6+3+12+3+7+6+8+4+6+12+6</f>
        <v>91</v>
      </c>
      <c r="F33" s="20">
        <f>B33+C33+D33+E33</f>
        <v>152</v>
      </c>
    </row>
    <row r="34" spans="1:6" ht="22" customHeight="1" thickBot="1">
      <c r="A34" s="9" t="s">
        <v>18</v>
      </c>
      <c r="B34" s="25">
        <f>1</f>
        <v>1</v>
      </c>
      <c r="C34" s="25">
        <f>2+1+5+2+2+5</f>
        <v>17</v>
      </c>
      <c r="D34" s="25">
        <f>2+3+6+4+2+3+9+3+10+2+8+3+4+3+2</f>
        <v>64</v>
      </c>
      <c r="E34" s="25">
        <f>2+5+4+2+3+3+13+1+6+5+7+4+4+7+5</f>
        <v>71</v>
      </c>
      <c r="F34" s="20">
        <f t="shared" si="0"/>
        <v>153</v>
      </c>
    </row>
    <row r="35" spans="1:6" ht="7" customHeight="1">
      <c r="A35" s="14"/>
      <c r="B35" s="234"/>
      <c r="C35" s="234"/>
      <c r="D35" s="234"/>
      <c r="E35" s="234"/>
      <c r="F35" s="234"/>
    </row>
    <row r="36" spans="1:6" ht="5" customHeight="1">
      <c r="A36" s="14"/>
      <c r="B36" s="232"/>
      <c r="C36" s="232"/>
      <c r="D36" s="232"/>
      <c r="E36" s="232"/>
      <c r="F36" s="232"/>
    </row>
    <row r="37" spans="1:6" ht="21" customHeight="1">
      <c r="A37" s="15" t="s">
        <v>19</v>
      </c>
      <c r="B37" s="232"/>
      <c r="C37" s="232"/>
      <c r="D37" s="232"/>
      <c r="E37" s="232"/>
      <c r="F37" s="232"/>
    </row>
    <row r="38" spans="1:6" ht="10" customHeight="1" thickBot="1">
      <c r="A38" s="16" t="s">
        <v>20</v>
      </c>
      <c r="B38" s="233"/>
      <c r="C38" s="233"/>
      <c r="D38" s="233"/>
      <c r="E38" s="233"/>
      <c r="F38" s="233"/>
    </row>
    <row r="39" spans="1:6" ht="23" customHeight="1" thickBot="1">
      <c r="A39" s="9" t="s">
        <v>21</v>
      </c>
      <c r="B39" s="25"/>
      <c r="C39" s="25">
        <f>2+1</f>
        <v>3</v>
      </c>
      <c r="D39" s="25">
        <f>2+5+1+2+1+12+5+1+3</f>
        <v>32</v>
      </c>
      <c r="E39" s="25">
        <f>4+6+7+5+6+4+21+4+8+7+12+6+8+12+8</f>
        <v>118</v>
      </c>
      <c r="F39" s="20">
        <f t="shared" si="0"/>
        <v>153</v>
      </c>
    </row>
    <row r="40" spans="1:6" ht="23" customHeight="1" thickBot="1">
      <c r="A40" s="11" t="s">
        <v>22</v>
      </c>
      <c r="B40" s="25"/>
      <c r="C40" s="25">
        <f>3</f>
        <v>3</v>
      </c>
      <c r="D40" s="25">
        <f>6+1+1+15+9+2+4</f>
        <v>38</v>
      </c>
      <c r="E40" s="25">
        <f>4+8+6+6+6+5+21+4+4+7+8+5+8+12+8</f>
        <v>112</v>
      </c>
      <c r="F40" s="19">
        <f t="shared" si="0"/>
        <v>153</v>
      </c>
    </row>
    <row r="41" spans="1:6" ht="23" customHeight="1" thickBot="1">
      <c r="A41" s="12" t="s">
        <v>23</v>
      </c>
      <c r="B41" s="26"/>
      <c r="C41" s="26">
        <f>1+3</f>
        <v>4</v>
      </c>
      <c r="D41" s="26">
        <f>2+6+4+1+13+6+1+1+2</f>
        <v>36</v>
      </c>
      <c r="E41" s="25">
        <f>4+8+9+6+6+18+3+6+6+12+6+8+11+10</f>
        <v>113</v>
      </c>
      <c r="F41" s="20">
        <f t="shared" si="0"/>
        <v>153</v>
      </c>
    </row>
    <row r="42" spans="1:6" ht="9" customHeight="1">
      <c r="A42" s="13"/>
      <c r="B42" s="231"/>
      <c r="C42" s="231"/>
      <c r="D42" s="231"/>
      <c r="E42" s="231"/>
      <c r="F42" s="234"/>
    </row>
    <row r="43" spans="1:6" ht="4" customHeight="1">
      <c r="A43" s="14"/>
      <c r="B43" s="232"/>
      <c r="C43" s="232"/>
      <c r="D43" s="232"/>
      <c r="E43" s="232"/>
      <c r="F43" s="232"/>
    </row>
    <row r="44" spans="1:6" ht="21" customHeight="1">
      <c r="A44" s="15" t="s">
        <v>24</v>
      </c>
      <c r="B44" s="232"/>
      <c r="C44" s="232"/>
      <c r="D44" s="232"/>
      <c r="E44" s="232"/>
      <c r="F44" s="232"/>
    </row>
    <row r="45" spans="1:6" ht="9" customHeight="1" thickBot="1">
      <c r="A45" s="16" t="s">
        <v>20</v>
      </c>
      <c r="B45" s="233"/>
      <c r="C45" s="233"/>
      <c r="D45" s="233"/>
      <c r="E45" s="233"/>
      <c r="F45" s="233"/>
    </row>
    <row r="46" spans="1:6" ht="23" customHeight="1" thickBot="1">
      <c r="A46" s="9" t="s">
        <v>25</v>
      </c>
      <c r="B46" s="25"/>
      <c r="C46" s="25">
        <v>1</v>
      </c>
      <c r="D46" s="25">
        <f>6+2+5+14+5</f>
        <v>32</v>
      </c>
      <c r="E46" s="25">
        <f>4+8+6+5+6+4+17+4+8+7+12+7+8+12+12</f>
        <v>120</v>
      </c>
      <c r="F46" s="19">
        <f t="shared" si="0"/>
        <v>153</v>
      </c>
    </row>
    <row r="47" spans="1:6" ht="23" customHeight="1">
      <c r="A47" s="86" t="s">
        <v>59</v>
      </c>
      <c r="B47" s="89">
        <v>1</v>
      </c>
      <c r="C47" s="89"/>
      <c r="D47" s="89">
        <f>1+1+2+1+1+1+1</f>
        <v>8</v>
      </c>
      <c r="E47" s="89">
        <f>4+5+3+5+6+6+11+11</f>
        <v>51</v>
      </c>
      <c r="F47" s="90">
        <f>B47+C47+D47+E47</f>
        <v>60</v>
      </c>
    </row>
    <row r="48" spans="1:6" ht="23" customHeight="1" thickBot="1">
      <c r="A48" s="87" t="s">
        <v>62</v>
      </c>
      <c r="B48" s="25"/>
      <c r="C48" s="25">
        <f>2+2+1</f>
        <v>5</v>
      </c>
      <c r="D48" s="25">
        <f>4+6+1+1+11+16+5</f>
        <v>44</v>
      </c>
      <c r="E48" s="25">
        <f>4+4+5+5+9+5+12</f>
        <v>44</v>
      </c>
      <c r="F48" s="88">
        <f>B48+C48+D48+E48</f>
        <v>93</v>
      </c>
    </row>
    <row r="49" spans="1:13" ht="23" customHeight="1">
      <c r="A49" s="91" t="s">
        <v>60</v>
      </c>
      <c r="B49" s="89"/>
      <c r="C49" s="89"/>
      <c r="D49" s="89">
        <f>1+1</f>
        <v>2</v>
      </c>
      <c r="E49" s="89">
        <f>4+6+4+7+7+8+11+11</f>
        <v>58</v>
      </c>
      <c r="F49" s="42">
        <f t="shared" si="0"/>
        <v>60</v>
      </c>
      <c r="G49" s="53"/>
    </row>
    <row r="50" spans="1:13" ht="28" customHeight="1" thickBot="1">
      <c r="A50" s="11" t="s">
        <v>61</v>
      </c>
      <c r="B50" s="25"/>
      <c r="C50" s="25">
        <f>1+1</f>
        <v>2</v>
      </c>
      <c r="D50" s="25">
        <f>11+3+2+9+16+5</f>
        <v>46</v>
      </c>
      <c r="E50" s="25">
        <f>5+4+3+4+12+5+12</f>
        <v>45</v>
      </c>
      <c r="F50" s="92">
        <f t="shared" si="0"/>
        <v>93</v>
      </c>
    </row>
    <row r="51" spans="1:13" ht="23" customHeight="1" thickBot="1">
      <c r="A51" s="9" t="s">
        <v>26</v>
      </c>
      <c r="B51" s="25"/>
      <c r="C51" s="25">
        <f>1+4</f>
        <v>5</v>
      </c>
      <c r="D51" s="25">
        <f>6+2+6+1+15+1+14+1+3</f>
        <v>49</v>
      </c>
      <c r="E51" s="25">
        <f>4+8+5+6+6+4+16+3+3+6+3+7+7+9</f>
        <v>87</v>
      </c>
      <c r="F51" s="20">
        <f t="shared" si="0"/>
        <v>141</v>
      </c>
    </row>
    <row r="52" spans="1:13" ht="17">
      <c r="F52" s="17"/>
      <c r="H52" s="211" t="s">
        <v>121</v>
      </c>
      <c r="I52" s="21" t="s">
        <v>43</v>
      </c>
      <c r="J52" s="21" t="s">
        <v>42</v>
      </c>
      <c r="K52" s="214" t="s">
        <v>118</v>
      </c>
      <c r="L52" s="215"/>
      <c r="M52" s="215"/>
    </row>
    <row r="53" spans="1:13" ht="24" customHeight="1">
      <c r="H53" s="210" t="s">
        <v>26</v>
      </c>
      <c r="I53" s="211">
        <f>I54/M54</f>
        <v>0</v>
      </c>
      <c r="J53" s="212">
        <f>J54/M54</f>
        <v>3.5460992907801421E-2</v>
      </c>
      <c r="K53" s="212">
        <f>K54/M54</f>
        <v>0.96453900709219853</v>
      </c>
      <c r="L53" s="212"/>
      <c r="M53" s="213">
        <f>I53+J53+K53+L53</f>
        <v>1</v>
      </c>
    </row>
    <row r="54" spans="1:13">
      <c r="I54" s="208">
        <f>B51</f>
        <v>0</v>
      </c>
      <c r="J54" s="208">
        <f>C51</f>
        <v>5</v>
      </c>
      <c r="K54" s="208">
        <f>D51+E51</f>
        <v>136</v>
      </c>
      <c r="L54" s="209"/>
      <c r="M54" s="209">
        <f>J54+K54+L54+I54</f>
        <v>141</v>
      </c>
    </row>
    <row r="58" spans="1:13">
      <c r="I58" s="81"/>
      <c r="J58" s="81"/>
      <c r="K58" s="80"/>
      <c r="L58" s="81"/>
    </row>
    <row r="59" spans="1:13">
      <c r="H59" s="207"/>
      <c r="I59" s="197"/>
      <c r="J59" s="197"/>
      <c r="K59" s="197"/>
      <c r="L59" s="197"/>
      <c r="M59" s="197"/>
    </row>
    <row r="60" spans="1:13">
      <c r="H60" s="206"/>
    </row>
    <row r="83" spans="8:13" ht="17">
      <c r="H83" s="211" t="s">
        <v>121</v>
      </c>
      <c r="I83" s="21" t="s">
        <v>43</v>
      </c>
      <c r="J83" s="21" t="s">
        <v>42</v>
      </c>
      <c r="K83" s="214" t="s">
        <v>118</v>
      </c>
      <c r="L83" s="215"/>
      <c r="M83" s="215"/>
    </row>
    <row r="84" spans="8:13" ht="26">
      <c r="H84" s="210" t="s">
        <v>18</v>
      </c>
      <c r="I84" s="211">
        <f>I85/M85</f>
        <v>6.5359477124183009E-3</v>
      </c>
      <c r="J84" s="212">
        <f>J85/M85</f>
        <v>0.1111111111111111</v>
      </c>
      <c r="K84" s="212">
        <f>K85/M85</f>
        <v>0.88235294117647056</v>
      </c>
      <c r="L84" s="212"/>
      <c r="M84" s="213">
        <f>I84+J84+K84+L84</f>
        <v>1</v>
      </c>
    </row>
    <row r="85" spans="8:13">
      <c r="I85" s="208">
        <f>B34</f>
        <v>1</v>
      </c>
      <c r="J85" s="208">
        <f>C34</f>
        <v>17</v>
      </c>
      <c r="K85" s="208">
        <f>D34+E34</f>
        <v>135</v>
      </c>
      <c r="L85" s="209"/>
      <c r="M85" s="209">
        <f>J85+K85+L85+I85</f>
        <v>153</v>
      </c>
    </row>
  </sheetData>
  <mergeCells count="16">
    <mergeCell ref="F26:F29"/>
    <mergeCell ref="B35:B38"/>
    <mergeCell ref="C35:C38"/>
    <mergeCell ref="D35:D38"/>
    <mergeCell ref="E35:E38"/>
    <mergeCell ref="F35:F38"/>
    <mergeCell ref="A1:D1"/>
    <mergeCell ref="B26:B29"/>
    <mergeCell ref="C26:C29"/>
    <mergeCell ref="D26:D29"/>
    <mergeCell ref="E26:E29"/>
    <mergeCell ref="B42:B45"/>
    <mergeCell ref="C42:C45"/>
    <mergeCell ref="D42:D45"/>
    <mergeCell ref="E42:E45"/>
    <mergeCell ref="F42:F45"/>
  </mergeCell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120C-B047-3F47-8295-DACD090764E7}">
  <dimension ref="A1:M84"/>
  <sheetViews>
    <sheetView topLeftCell="A7" zoomScale="109" zoomScaleNormal="75" workbookViewId="0">
      <selection activeCell="A12" sqref="A12"/>
    </sheetView>
  </sheetViews>
  <sheetFormatPr baseColWidth="10" defaultRowHeight="16"/>
  <cols>
    <col min="1" max="1" width="45.6640625" customWidth="1"/>
    <col min="2" max="5" width="13.83203125" customWidth="1"/>
    <col min="6" max="6" width="15.33203125" customWidth="1"/>
    <col min="7" max="7" width="14.6640625" customWidth="1"/>
    <col min="8" max="10" width="25.1640625" customWidth="1"/>
    <col min="11" max="11" width="22" customWidth="1"/>
    <col min="12" max="12" width="15" customWidth="1"/>
  </cols>
  <sheetData>
    <row r="1" spans="1:13" ht="24">
      <c r="A1" s="235" t="s">
        <v>31</v>
      </c>
      <c r="B1" s="235"/>
      <c r="C1" s="235"/>
      <c r="D1" s="235"/>
    </row>
    <row r="2" spans="1:13" ht="45" customHeight="1">
      <c r="A2" s="32" t="s">
        <v>30</v>
      </c>
      <c r="B2" s="24" t="s">
        <v>51</v>
      </c>
      <c r="C2" s="24" t="s">
        <v>6</v>
      </c>
      <c r="D2" s="24" t="s">
        <v>7</v>
      </c>
      <c r="E2" s="24" t="s">
        <v>27</v>
      </c>
      <c r="F2" s="96" t="s">
        <v>66</v>
      </c>
      <c r="G2" s="1"/>
      <c r="H2" s="1"/>
    </row>
    <row r="3" spans="1:13" ht="30" customHeight="1">
      <c r="A3" s="33" t="s">
        <v>0</v>
      </c>
      <c r="B3" s="30" t="s">
        <v>52</v>
      </c>
      <c r="C3" s="30">
        <v>11</v>
      </c>
      <c r="D3" s="21">
        <v>8</v>
      </c>
      <c r="E3" s="21" t="s">
        <v>28</v>
      </c>
      <c r="F3" s="97">
        <v>1</v>
      </c>
      <c r="G3" s="1"/>
      <c r="H3" s="1"/>
    </row>
    <row r="4" spans="1:13" ht="30" customHeight="1">
      <c r="A4" s="33" t="s">
        <v>4</v>
      </c>
      <c r="B4" s="30" t="s">
        <v>52</v>
      </c>
      <c r="C4" s="31">
        <v>5</v>
      </c>
      <c r="D4" s="22">
        <v>4</v>
      </c>
      <c r="E4" s="22" t="s">
        <v>28</v>
      </c>
      <c r="F4" s="98">
        <v>1</v>
      </c>
      <c r="G4" s="1"/>
      <c r="H4" s="211" t="s">
        <v>121</v>
      </c>
      <c r="I4" s="21" t="s">
        <v>43</v>
      </c>
      <c r="J4" s="21" t="s">
        <v>42</v>
      </c>
      <c r="K4" s="214" t="s">
        <v>118</v>
      </c>
      <c r="L4" s="215"/>
      <c r="M4" s="215"/>
    </row>
    <row r="5" spans="1:13" ht="30" customHeight="1">
      <c r="A5" s="108" t="s">
        <v>88</v>
      </c>
      <c r="B5" s="30" t="s">
        <v>84</v>
      </c>
      <c r="C5" s="30">
        <v>12</v>
      </c>
      <c r="D5" s="21">
        <v>6</v>
      </c>
      <c r="E5" s="22" t="s">
        <v>28</v>
      </c>
      <c r="F5" s="97">
        <v>1</v>
      </c>
      <c r="G5" s="1"/>
      <c r="H5" s="210" t="s">
        <v>15</v>
      </c>
      <c r="I5" s="211">
        <f>I6/M6</f>
        <v>0</v>
      </c>
      <c r="J5" s="212">
        <f>J6/M6</f>
        <v>1.4285714285714285E-2</v>
      </c>
      <c r="K5" s="212">
        <f>K6/M6</f>
        <v>0.98571428571428577</v>
      </c>
      <c r="L5" s="212"/>
      <c r="M5" s="213">
        <f>I5+J5+K5+L5</f>
        <v>1</v>
      </c>
    </row>
    <row r="6" spans="1:13" ht="30" customHeight="1">
      <c r="A6" s="121" t="s">
        <v>89</v>
      </c>
      <c r="B6" s="31" t="s">
        <v>84</v>
      </c>
      <c r="C6" s="31">
        <v>5</v>
      </c>
      <c r="D6" s="22">
        <v>5</v>
      </c>
      <c r="E6" s="22" t="s">
        <v>28</v>
      </c>
      <c r="F6" s="122">
        <v>1</v>
      </c>
      <c r="G6" s="1"/>
      <c r="I6" s="208">
        <f>B27</f>
        <v>0</v>
      </c>
      <c r="J6" s="208">
        <f>C27</f>
        <v>1</v>
      </c>
      <c r="K6" s="208">
        <f>D27+E27</f>
        <v>69</v>
      </c>
      <c r="L6" s="209"/>
      <c r="M6" s="209">
        <f>J6+K6+L6+I6</f>
        <v>70</v>
      </c>
    </row>
    <row r="7" spans="1:13" ht="30" customHeight="1">
      <c r="A7" s="123" t="s">
        <v>124</v>
      </c>
      <c r="B7" s="31" t="s">
        <v>84</v>
      </c>
      <c r="C7" s="21">
        <v>3</v>
      </c>
      <c r="D7" s="21">
        <v>3</v>
      </c>
      <c r="E7" s="22" t="s">
        <v>28</v>
      </c>
      <c r="F7" s="124">
        <v>1</v>
      </c>
      <c r="G7" s="1"/>
    </row>
    <row r="8" spans="1:13" ht="30" customHeight="1">
      <c r="A8" s="123" t="s">
        <v>125</v>
      </c>
      <c r="B8" s="30" t="s">
        <v>52</v>
      </c>
      <c r="C8" s="21">
        <v>8</v>
      </c>
      <c r="D8" s="21">
        <v>8</v>
      </c>
      <c r="E8" s="22" t="s">
        <v>28</v>
      </c>
      <c r="F8" s="124">
        <v>1</v>
      </c>
      <c r="G8" s="1"/>
      <c r="H8" s="206"/>
      <c r="I8" s="197"/>
      <c r="J8" s="197"/>
      <c r="K8" s="197"/>
      <c r="L8" s="197"/>
    </row>
    <row r="9" spans="1:13" ht="30" customHeight="1">
      <c r="A9" s="123" t="s">
        <v>130</v>
      </c>
      <c r="B9" s="31" t="s">
        <v>84</v>
      </c>
      <c r="C9" s="21">
        <v>5</v>
      </c>
      <c r="D9" s="21">
        <v>5</v>
      </c>
      <c r="E9" s="22" t="s">
        <v>28</v>
      </c>
      <c r="F9" s="124">
        <v>1</v>
      </c>
      <c r="G9" s="1"/>
      <c r="H9" s="206"/>
      <c r="I9" s="197"/>
      <c r="J9" s="197"/>
      <c r="K9" s="197"/>
      <c r="L9" s="197"/>
      <c r="M9" s="197"/>
    </row>
    <row r="10" spans="1:13" ht="30" customHeight="1">
      <c r="A10" s="123" t="s">
        <v>150</v>
      </c>
      <c r="B10" s="31" t="s">
        <v>84</v>
      </c>
      <c r="C10" s="21">
        <v>10</v>
      </c>
      <c r="D10" s="21">
        <v>10</v>
      </c>
      <c r="E10" s="22" t="s">
        <v>28</v>
      </c>
      <c r="F10" s="124">
        <v>1</v>
      </c>
      <c r="G10" s="1"/>
    </row>
    <row r="11" spans="1:13" ht="30" customHeight="1">
      <c r="A11" s="123" t="s">
        <v>158</v>
      </c>
      <c r="B11" s="21" t="s">
        <v>52</v>
      </c>
      <c r="C11" s="21">
        <v>5</v>
      </c>
      <c r="D11" s="21">
        <v>5</v>
      </c>
      <c r="E11" s="22" t="s">
        <v>28</v>
      </c>
      <c r="F11" s="124">
        <v>1</v>
      </c>
      <c r="G11" s="1"/>
    </row>
    <row r="12" spans="1:13" ht="30" customHeight="1">
      <c r="A12" s="113" t="s">
        <v>183</v>
      </c>
      <c r="B12" s="21" t="s">
        <v>117</v>
      </c>
      <c r="C12" s="107">
        <v>10</v>
      </c>
      <c r="D12" s="107">
        <v>9</v>
      </c>
      <c r="E12" s="95" t="s">
        <v>28</v>
      </c>
      <c r="F12" s="23">
        <v>1</v>
      </c>
      <c r="G12" s="1"/>
    </row>
    <row r="13" spans="1:13" ht="30" customHeight="1">
      <c r="A13" s="227" t="s">
        <v>197</v>
      </c>
      <c r="B13" s="120" t="s">
        <v>117</v>
      </c>
      <c r="C13" s="120">
        <v>7</v>
      </c>
      <c r="D13" s="120">
        <v>7</v>
      </c>
      <c r="E13" s="120"/>
      <c r="F13" s="98">
        <v>1</v>
      </c>
      <c r="G13" s="1"/>
    </row>
    <row r="14" spans="1:13" ht="30" customHeight="1">
      <c r="A14" s="117" t="s">
        <v>29</v>
      </c>
      <c r="B14" s="118"/>
      <c r="C14" s="119">
        <f>(C3+C4+C5+C6+C7+C8+C9+C10+C11+C12+C13)</f>
        <v>81</v>
      </c>
      <c r="D14" s="119">
        <f>(D3+D4+D5+D6+D7+D8+D9+D10+D11+D12+D13)</f>
        <v>70</v>
      </c>
      <c r="E14" s="119"/>
      <c r="F14" s="119">
        <f>(F3+F4+F5+F6+F7+F8+F9+F10+F11+F12+F13)</f>
        <v>11</v>
      </c>
      <c r="G14" s="1"/>
    </row>
    <row r="15" spans="1:13" ht="30" customHeight="1" thickBot="1">
      <c r="A15" s="1"/>
      <c r="B15" s="1"/>
      <c r="C15" s="1"/>
      <c r="D15" s="1"/>
      <c r="E15" s="1"/>
      <c r="F15" s="1"/>
      <c r="G15" s="1"/>
    </row>
    <row r="16" spans="1:13" ht="30" customHeight="1" thickBot="1">
      <c r="A16" s="2"/>
      <c r="B16" s="3">
        <v>0</v>
      </c>
      <c r="C16" s="4">
        <v>1</v>
      </c>
      <c r="D16" s="5">
        <v>2</v>
      </c>
      <c r="E16" s="6">
        <v>3</v>
      </c>
      <c r="F16" s="18" t="s">
        <v>29</v>
      </c>
      <c r="G16" s="1"/>
    </row>
    <row r="17" spans="1:13" ht="22" customHeight="1" thickBot="1">
      <c r="A17" s="7" t="s">
        <v>8</v>
      </c>
      <c r="B17" s="28"/>
      <c r="C17" s="28">
        <f>2</f>
        <v>2</v>
      </c>
      <c r="D17" s="28">
        <f>2+1+4+1+3+3</f>
        <v>14</v>
      </c>
      <c r="E17" s="28">
        <f>10+2+4+4+2+9+2</f>
        <v>33</v>
      </c>
      <c r="F17" s="20">
        <f t="shared" ref="F17:F47" si="0">B17+C17+D17+E17</f>
        <v>49</v>
      </c>
      <c r="G17" s="1"/>
    </row>
    <row r="18" spans="1:13" ht="22" customHeight="1" thickBot="1">
      <c r="A18" s="7" t="s">
        <v>76</v>
      </c>
      <c r="B18" s="28"/>
      <c r="C18" s="28">
        <f>5+3</f>
        <v>8</v>
      </c>
      <c r="D18" s="28">
        <f>1+1+3</f>
        <v>5</v>
      </c>
      <c r="E18" s="28">
        <f>4+4</f>
        <v>8</v>
      </c>
      <c r="F18" s="20">
        <f t="shared" si="0"/>
        <v>21</v>
      </c>
      <c r="G18" s="1"/>
    </row>
    <row r="19" spans="1:13" ht="22" customHeight="1" thickBot="1">
      <c r="A19" s="8" t="s">
        <v>9</v>
      </c>
      <c r="B19" s="29"/>
      <c r="C19" s="29"/>
      <c r="D19" s="29">
        <f>3+1+1+1+1+4+3+1+4</f>
        <v>19</v>
      </c>
      <c r="E19" s="29">
        <f>9+5+5+2+7+4+6+2+8+3</f>
        <v>51</v>
      </c>
      <c r="F19" s="20">
        <f t="shared" si="0"/>
        <v>70</v>
      </c>
      <c r="G19" s="1"/>
    </row>
    <row r="20" spans="1:13" ht="22" customHeight="1" thickBot="1">
      <c r="A20" s="9" t="s">
        <v>10</v>
      </c>
      <c r="B20" s="25"/>
      <c r="C20" s="25">
        <f>1+1</f>
        <v>2</v>
      </c>
      <c r="D20" s="25">
        <f>2+3+2+2+4</f>
        <v>13</v>
      </c>
      <c r="E20" s="25">
        <f>10+6+4+3+5+5+7+5+7+3</f>
        <v>55</v>
      </c>
      <c r="F20" s="20">
        <f t="shared" si="0"/>
        <v>70</v>
      </c>
      <c r="G20" s="1"/>
    </row>
    <row r="21" spans="1:13" ht="22" customHeight="1" thickBot="1">
      <c r="A21" s="10" t="s">
        <v>11</v>
      </c>
      <c r="B21" s="27"/>
      <c r="C21" s="27"/>
      <c r="D21" s="27">
        <f>1+1+1+2+2</f>
        <v>7</v>
      </c>
      <c r="E21" s="27">
        <f>11+6+4+3+8+4+8+5+9+5</f>
        <v>63</v>
      </c>
      <c r="F21" s="20">
        <f t="shared" si="0"/>
        <v>70</v>
      </c>
    </row>
    <row r="22" spans="1:13" ht="10" customHeight="1">
      <c r="A22" s="14"/>
      <c r="B22" s="231"/>
      <c r="C22" s="231"/>
      <c r="D22" s="231"/>
      <c r="E22" s="231"/>
      <c r="F22" s="231"/>
    </row>
    <row r="23" spans="1:13" ht="4" customHeight="1">
      <c r="A23" s="14"/>
      <c r="B23" s="232"/>
      <c r="C23" s="232"/>
      <c r="D23" s="232"/>
      <c r="E23" s="232"/>
      <c r="F23" s="232"/>
    </row>
    <row r="24" spans="1:13" ht="12" customHeight="1">
      <c r="A24" s="15" t="s">
        <v>12</v>
      </c>
      <c r="B24" s="232"/>
      <c r="C24" s="232"/>
      <c r="D24" s="232"/>
      <c r="E24" s="232"/>
      <c r="F24" s="232"/>
    </row>
    <row r="25" spans="1:13" ht="20" customHeight="1" thickBot="1">
      <c r="A25" s="16" t="s">
        <v>13</v>
      </c>
      <c r="B25" s="233"/>
      <c r="C25" s="233"/>
      <c r="D25" s="233"/>
      <c r="E25" s="233"/>
      <c r="F25" s="233"/>
      <c r="H25" s="211" t="s">
        <v>121</v>
      </c>
      <c r="I25" s="21" t="s">
        <v>43</v>
      </c>
      <c r="J25" s="21" t="s">
        <v>42</v>
      </c>
      <c r="K25" s="214" t="s">
        <v>118</v>
      </c>
      <c r="L25" s="215"/>
      <c r="M25" s="215"/>
    </row>
    <row r="26" spans="1:13" ht="22" customHeight="1" thickBot="1">
      <c r="A26" s="10" t="s">
        <v>14</v>
      </c>
      <c r="B26" s="27"/>
      <c r="C26" s="27"/>
      <c r="D26" s="27">
        <f>1+1+2+2+1+1+2+2</f>
        <v>12</v>
      </c>
      <c r="E26" s="27">
        <f>11+6+4+1+6+5+9+4+7+5</f>
        <v>58</v>
      </c>
      <c r="F26" s="20">
        <f t="shared" si="0"/>
        <v>70</v>
      </c>
      <c r="H26" s="210" t="s">
        <v>16</v>
      </c>
      <c r="I26" s="211">
        <f>I27/M27</f>
        <v>0</v>
      </c>
      <c r="J26" s="212">
        <f>J27/M27</f>
        <v>1.4285714285714285E-2</v>
      </c>
      <c r="K26" s="212">
        <f>K27/M27</f>
        <v>0.98571428571428577</v>
      </c>
      <c r="L26" s="212"/>
      <c r="M26" s="213">
        <f>I26+J26+K26</f>
        <v>1</v>
      </c>
    </row>
    <row r="27" spans="1:13" ht="22" customHeight="1" thickBot="1">
      <c r="A27" s="9" t="s">
        <v>15</v>
      </c>
      <c r="B27" s="25"/>
      <c r="C27" s="25">
        <f>1</f>
        <v>1</v>
      </c>
      <c r="D27" s="27">
        <f>1+1+1+2+2+1+2+3</f>
        <v>13</v>
      </c>
      <c r="E27" s="27">
        <f>11+6+4+2+6+5+7+4+7+4</f>
        <v>56</v>
      </c>
      <c r="F27" s="20">
        <f t="shared" si="0"/>
        <v>70</v>
      </c>
      <c r="I27" s="208">
        <f>B28</f>
        <v>0</v>
      </c>
      <c r="J27" s="208">
        <f>C28</f>
        <v>1</v>
      </c>
      <c r="K27" s="208">
        <f>D28+E28</f>
        <v>69</v>
      </c>
      <c r="L27" s="209"/>
      <c r="M27" s="209">
        <f>J27+K27+L27+I27</f>
        <v>70</v>
      </c>
    </row>
    <row r="28" spans="1:13" ht="22" customHeight="1" thickBot="1">
      <c r="A28" s="10" t="s">
        <v>16</v>
      </c>
      <c r="B28" s="27"/>
      <c r="C28" s="27">
        <v>1</v>
      </c>
      <c r="D28" s="27">
        <f>1+1+1+1+5+3+3+1</f>
        <v>16</v>
      </c>
      <c r="E28" s="27">
        <f>10+6+4+2+7+5+5+2+6+6</f>
        <v>53</v>
      </c>
      <c r="F28" s="20">
        <f t="shared" si="0"/>
        <v>70</v>
      </c>
      <c r="H28" s="206"/>
    </row>
    <row r="29" spans="1:13" ht="22" customHeight="1" thickBot="1">
      <c r="A29" s="9" t="s">
        <v>17</v>
      </c>
      <c r="B29" s="25"/>
      <c r="C29" s="25"/>
      <c r="D29" s="25">
        <f>2+1+1+3+1+2+4+6</f>
        <v>20</v>
      </c>
      <c r="E29" s="25">
        <f>10+5+4+7+3+6+5+9+1</f>
        <v>50</v>
      </c>
      <c r="F29" s="20">
        <f t="shared" si="0"/>
        <v>70</v>
      </c>
      <c r="H29" s="206"/>
    </row>
    <row r="30" spans="1:13" ht="22" customHeight="1" thickBot="1">
      <c r="A30" s="9" t="s">
        <v>18</v>
      </c>
      <c r="B30" s="25"/>
      <c r="C30" s="25">
        <v>1</v>
      </c>
      <c r="D30" s="25">
        <f>2+1+1+1+1+4+4+2</f>
        <v>16</v>
      </c>
      <c r="E30" s="25">
        <f>9+6+4+2+7+4+6+1+9+5</f>
        <v>53</v>
      </c>
      <c r="F30" s="20">
        <f t="shared" si="0"/>
        <v>70</v>
      </c>
    </row>
    <row r="31" spans="1:13" ht="7" customHeight="1">
      <c r="A31" s="14"/>
      <c r="B31" s="234"/>
      <c r="C31" s="234"/>
      <c r="D31" s="234"/>
      <c r="E31" s="234"/>
      <c r="F31" s="234"/>
    </row>
    <row r="32" spans="1:13" ht="5" customHeight="1">
      <c r="A32" s="14"/>
      <c r="B32" s="232"/>
      <c r="C32" s="232"/>
      <c r="D32" s="232"/>
      <c r="E32" s="232"/>
      <c r="F32" s="232"/>
    </row>
    <row r="33" spans="1:6" ht="21" customHeight="1">
      <c r="A33" s="15" t="s">
        <v>19</v>
      </c>
      <c r="B33" s="232"/>
      <c r="C33" s="232"/>
      <c r="D33" s="232"/>
      <c r="E33" s="232"/>
      <c r="F33" s="232"/>
    </row>
    <row r="34" spans="1:6" ht="10" customHeight="1" thickBot="1">
      <c r="A34" s="16" t="s">
        <v>20</v>
      </c>
      <c r="B34" s="233"/>
      <c r="C34" s="233"/>
      <c r="D34" s="233"/>
      <c r="E34" s="233"/>
      <c r="F34" s="233"/>
    </row>
    <row r="35" spans="1:6" ht="23" customHeight="1" thickBot="1">
      <c r="A35" s="9" t="s">
        <v>21</v>
      </c>
      <c r="B35" s="25"/>
      <c r="C35" s="25"/>
      <c r="D35" s="25">
        <f>1+1+1+2</f>
        <v>5</v>
      </c>
      <c r="E35" s="25">
        <f>12+6+4+3+8+5+9+5+8+5</f>
        <v>65</v>
      </c>
      <c r="F35" s="20">
        <f t="shared" si="0"/>
        <v>70</v>
      </c>
    </row>
    <row r="36" spans="1:6" ht="23" customHeight="1" thickBot="1">
      <c r="A36" s="11" t="s">
        <v>22</v>
      </c>
      <c r="B36" s="25"/>
      <c r="C36" s="25"/>
      <c r="D36" s="25">
        <f>1+2+2+1</f>
        <v>6</v>
      </c>
      <c r="E36" s="25">
        <f>12+6+4+3+8+5+8+3+9+6</f>
        <v>64</v>
      </c>
      <c r="F36" s="19">
        <f t="shared" si="0"/>
        <v>70</v>
      </c>
    </row>
    <row r="37" spans="1:6" ht="23" customHeight="1" thickBot="1">
      <c r="A37" s="12" t="s">
        <v>23</v>
      </c>
      <c r="B37" s="26"/>
      <c r="C37" s="26"/>
      <c r="D37" s="26">
        <f>2+1+3+1</f>
        <v>7</v>
      </c>
      <c r="E37" s="25">
        <f>10+6+4+3+8+5+7+5+9+6</f>
        <v>63</v>
      </c>
      <c r="F37" s="20">
        <f t="shared" si="0"/>
        <v>70</v>
      </c>
    </row>
    <row r="38" spans="1:6" ht="9" customHeight="1">
      <c r="A38" s="13"/>
      <c r="B38" s="231"/>
      <c r="C38" s="231"/>
      <c r="D38" s="231"/>
      <c r="E38" s="231"/>
      <c r="F38" s="234"/>
    </row>
    <row r="39" spans="1:6" ht="4" customHeight="1">
      <c r="A39" s="14"/>
      <c r="B39" s="232"/>
      <c r="C39" s="232"/>
      <c r="D39" s="232"/>
      <c r="E39" s="232"/>
      <c r="F39" s="232"/>
    </row>
    <row r="40" spans="1:6" ht="21" customHeight="1">
      <c r="A40" s="15" t="s">
        <v>24</v>
      </c>
      <c r="B40" s="232"/>
      <c r="C40" s="232"/>
      <c r="D40" s="232"/>
      <c r="E40" s="232"/>
      <c r="F40" s="232"/>
    </row>
    <row r="41" spans="1:6" ht="9" customHeight="1" thickBot="1">
      <c r="A41" s="16" t="s">
        <v>20</v>
      </c>
      <c r="B41" s="233"/>
      <c r="C41" s="233"/>
      <c r="D41" s="233"/>
      <c r="E41" s="233"/>
      <c r="F41" s="233"/>
    </row>
    <row r="42" spans="1:6" ht="23" customHeight="1" thickBot="1">
      <c r="A42" s="9" t="s">
        <v>25</v>
      </c>
      <c r="B42" s="25"/>
      <c r="C42" s="25"/>
      <c r="D42" s="25">
        <f>1+1+1+4+1</f>
        <v>8</v>
      </c>
      <c r="E42" s="25">
        <f>12+6+4+2+7+5+6+4+9+6</f>
        <v>61</v>
      </c>
      <c r="F42" s="19">
        <f t="shared" si="0"/>
        <v>69</v>
      </c>
    </row>
    <row r="43" spans="1:6" ht="23" customHeight="1" thickBot="1">
      <c r="A43" s="11" t="s">
        <v>59</v>
      </c>
      <c r="B43" s="25"/>
      <c r="C43" s="25"/>
      <c r="D43" s="25">
        <f>2+2+1+2+1</f>
        <v>8</v>
      </c>
      <c r="E43" s="25">
        <f>10+6+4+7+6</f>
        <v>33</v>
      </c>
      <c r="F43" s="20">
        <f t="shared" si="0"/>
        <v>41</v>
      </c>
    </row>
    <row r="44" spans="1:6" ht="23" customHeight="1" thickBot="1">
      <c r="A44" s="11" t="s">
        <v>62</v>
      </c>
      <c r="B44" s="25"/>
      <c r="C44" s="25">
        <f>2</f>
        <v>2</v>
      </c>
      <c r="D44" s="25">
        <f>1+1+1+8</f>
        <v>11</v>
      </c>
      <c r="E44" s="25">
        <f>5+4+2+5</f>
        <v>16</v>
      </c>
      <c r="F44" s="20">
        <f t="shared" si="0"/>
        <v>29</v>
      </c>
    </row>
    <row r="45" spans="1:6" ht="23" customHeight="1" thickBot="1">
      <c r="A45" s="11" t="s">
        <v>60</v>
      </c>
      <c r="B45" s="25"/>
      <c r="C45" s="25"/>
      <c r="D45" s="25">
        <f>1+1+1+2</f>
        <v>5</v>
      </c>
      <c r="E45" s="25">
        <f>11+7+4+9+5</f>
        <v>36</v>
      </c>
      <c r="F45" s="20">
        <f t="shared" si="0"/>
        <v>41</v>
      </c>
    </row>
    <row r="46" spans="1:6" ht="28" customHeight="1" thickBot="1">
      <c r="A46" s="11" t="s">
        <v>61</v>
      </c>
      <c r="B46" s="25"/>
      <c r="C46" s="25">
        <f>3</f>
        <v>3</v>
      </c>
      <c r="D46" s="25">
        <f>1+1+1+4</f>
        <v>7</v>
      </c>
      <c r="E46" s="25">
        <f>6+4+2+4+3</f>
        <v>19</v>
      </c>
      <c r="F46" s="20">
        <f t="shared" si="0"/>
        <v>29</v>
      </c>
    </row>
    <row r="47" spans="1:6" ht="23" customHeight="1" thickBot="1">
      <c r="A47" s="9" t="s">
        <v>26</v>
      </c>
      <c r="B47" s="25"/>
      <c r="C47" s="25"/>
      <c r="D47" s="25">
        <f>1+2+1+1+1</f>
        <v>6</v>
      </c>
      <c r="E47" s="25">
        <f>12+6+5+2+8+5+8+4+8</f>
        <v>58</v>
      </c>
      <c r="F47" s="20">
        <f t="shared" si="0"/>
        <v>64</v>
      </c>
    </row>
    <row r="48" spans="1:6">
      <c r="F48" s="17"/>
    </row>
    <row r="51" spans="8:13" ht="17">
      <c r="H51" s="211" t="s">
        <v>121</v>
      </c>
      <c r="I51" s="21" t="s">
        <v>43</v>
      </c>
      <c r="J51" s="21" t="s">
        <v>42</v>
      </c>
      <c r="K51" s="214" t="s">
        <v>118</v>
      </c>
      <c r="L51" s="215"/>
      <c r="M51" s="215"/>
    </row>
    <row r="52" spans="8:13" ht="26">
      <c r="H52" s="210" t="s">
        <v>26</v>
      </c>
      <c r="I52" s="211">
        <f>I53/M53</f>
        <v>0</v>
      </c>
      <c r="J52" s="212">
        <f>J53/M53</f>
        <v>0</v>
      </c>
      <c r="K52" s="212">
        <f>K53/M53</f>
        <v>1</v>
      </c>
      <c r="L52" s="212"/>
      <c r="M52" s="213">
        <f>I52+J52+K52+L52</f>
        <v>1</v>
      </c>
    </row>
    <row r="53" spans="8:13">
      <c r="I53" s="208">
        <f>B47</f>
        <v>0</v>
      </c>
      <c r="J53" s="208">
        <f>C47</f>
        <v>0</v>
      </c>
      <c r="K53" s="208">
        <f>D47+E47</f>
        <v>64</v>
      </c>
      <c r="L53" s="209"/>
      <c r="M53" s="209">
        <f>J53+K53+L53+I53</f>
        <v>64</v>
      </c>
    </row>
    <row r="57" spans="8:13">
      <c r="I57" s="81"/>
      <c r="J57" s="81"/>
      <c r="K57" s="80"/>
      <c r="L57" s="81"/>
    </row>
    <row r="58" spans="8:13">
      <c r="H58" s="207"/>
      <c r="I58" s="197"/>
      <c r="J58" s="197"/>
      <c r="K58" s="197"/>
      <c r="L58" s="197"/>
      <c r="M58" s="197"/>
    </row>
    <row r="59" spans="8:13">
      <c r="H59" s="206"/>
    </row>
    <row r="82" spans="8:13" ht="17">
      <c r="H82" s="211" t="s">
        <v>121</v>
      </c>
      <c r="I82" s="21" t="s">
        <v>43</v>
      </c>
      <c r="J82" s="21" t="s">
        <v>42</v>
      </c>
      <c r="K82" s="214" t="s">
        <v>118</v>
      </c>
      <c r="L82" s="215"/>
      <c r="M82" s="215"/>
    </row>
    <row r="83" spans="8:13" ht="26">
      <c r="H83" s="210" t="s">
        <v>18</v>
      </c>
      <c r="I83" s="211">
        <f>I84/M84</f>
        <v>0</v>
      </c>
      <c r="J83" s="212">
        <f>J84/M84</f>
        <v>1.4285714285714285E-2</v>
      </c>
      <c r="K83" s="212">
        <f>K84/M84</f>
        <v>0.98571428571428577</v>
      </c>
      <c r="L83" s="212"/>
      <c r="M83" s="213">
        <f>I83+J83+K83+L83</f>
        <v>1</v>
      </c>
    </row>
    <row r="84" spans="8:13">
      <c r="I84" s="208">
        <f>B30</f>
        <v>0</v>
      </c>
      <c r="J84" s="208">
        <f>C30</f>
        <v>1</v>
      </c>
      <c r="K84" s="208">
        <f>D30+E30</f>
        <v>69</v>
      </c>
      <c r="L84" s="209"/>
      <c r="M84" s="209">
        <f>J84+K84+L84+I84</f>
        <v>70</v>
      </c>
    </row>
  </sheetData>
  <mergeCells count="16">
    <mergeCell ref="F22:F25"/>
    <mergeCell ref="B31:B34"/>
    <mergeCell ref="C31:C34"/>
    <mergeCell ref="D31:D34"/>
    <mergeCell ref="E31:E34"/>
    <mergeCell ref="F31:F34"/>
    <mergeCell ref="A1:D1"/>
    <mergeCell ref="B22:B25"/>
    <mergeCell ref="C22:C25"/>
    <mergeCell ref="D22:D25"/>
    <mergeCell ref="E22:E25"/>
    <mergeCell ref="B38:B41"/>
    <mergeCell ref="C38:C41"/>
    <mergeCell ref="D38:D41"/>
    <mergeCell ref="E38:E41"/>
    <mergeCell ref="F38:F41"/>
  </mergeCells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8F9CE-CF0F-2244-BF93-B44E5D29EDDE}">
  <sheetPr>
    <pageSetUpPr fitToPage="1"/>
  </sheetPr>
  <dimension ref="A1:M96"/>
  <sheetViews>
    <sheetView topLeftCell="A53" zoomScale="75" zoomScaleNormal="125" workbookViewId="0">
      <selection activeCell="G20" sqref="G20"/>
    </sheetView>
  </sheetViews>
  <sheetFormatPr baseColWidth="10" defaultRowHeight="16"/>
  <cols>
    <col min="1" max="1" width="45.6640625" customWidth="1"/>
    <col min="2" max="5" width="13.83203125" customWidth="1"/>
    <col min="6" max="6" width="15.33203125" customWidth="1"/>
    <col min="7" max="7" width="17.33203125" customWidth="1"/>
    <col min="8" max="11" width="22.1640625" customWidth="1"/>
    <col min="12" max="12" width="21.83203125" customWidth="1"/>
  </cols>
  <sheetData>
    <row r="1" spans="1:13" ht="24">
      <c r="A1" s="235" t="s">
        <v>32</v>
      </c>
      <c r="B1" s="235"/>
      <c r="C1" s="235"/>
      <c r="D1" s="235"/>
    </row>
    <row r="2" spans="1:13" ht="45" customHeight="1">
      <c r="A2" s="32" t="s">
        <v>30</v>
      </c>
      <c r="B2" s="24" t="s">
        <v>51</v>
      </c>
      <c r="C2" s="24" t="s">
        <v>6</v>
      </c>
      <c r="D2" s="24" t="s">
        <v>7</v>
      </c>
      <c r="E2" s="24" t="s">
        <v>27</v>
      </c>
      <c r="F2" s="96" t="s">
        <v>66</v>
      </c>
      <c r="G2" s="1"/>
      <c r="H2" s="1"/>
    </row>
    <row r="3" spans="1:13" ht="30" customHeight="1">
      <c r="A3" s="33" t="s">
        <v>1</v>
      </c>
      <c r="B3" s="30" t="s">
        <v>52</v>
      </c>
      <c r="C3" s="30">
        <v>6</v>
      </c>
      <c r="D3" s="21">
        <v>6</v>
      </c>
      <c r="E3" s="22" t="s">
        <v>28</v>
      </c>
      <c r="F3" s="97">
        <v>1</v>
      </c>
      <c r="G3" s="1"/>
      <c r="H3" s="1"/>
    </row>
    <row r="4" spans="1:13" ht="30" customHeight="1">
      <c r="A4" s="33" t="s">
        <v>85</v>
      </c>
      <c r="B4" s="30" t="s">
        <v>84</v>
      </c>
      <c r="C4" s="30">
        <v>8</v>
      </c>
      <c r="D4" s="21">
        <v>8</v>
      </c>
      <c r="E4" s="22" t="s">
        <v>28</v>
      </c>
      <c r="F4" s="97">
        <v>1</v>
      </c>
      <c r="G4" s="1"/>
      <c r="H4" s="211" t="s">
        <v>121</v>
      </c>
      <c r="I4" s="21" t="s">
        <v>43</v>
      </c>
      <c r="J4" s="21" t="s">
        <v>42</v>
      </c>
      <c r="K4" s="214" t="s">
        <v>118</v>
      </c>
      <c r="L4" s="215"/>
      <c r="M4" s="215"/>
    </row>
    <row r="5" spans="1:13" ht="30" customHeight="1">
      <c r="A5" s="33" t="s">
        <v>90</v>
      </c>
      <c r="B5" s="30" t="s">
        <v>84</v>
      </c>
      <c r="C5" s="30">
        <v>6</v>
      </c>
      <c r="D5" s="21">
        <v>6</v>
      </c>
      <c r="E5" s="22" t="s">
        <v>28</v>
      </c>
      <c r="F5" s="97">
        <v>1</v>
      </c>
      <c r="G5" s="1"/>
      <c r="H5" s="210" t="s">
        <v>15</v>
      </c>
      <c r="I5" s="211">
        <f>I6/M6</f>
        <v>0</v>
      </c>
      <c r="J5" s="212">
        <f>J6/M6</f>
        <v>6.024096385542169E-3</v>
      </c>
      <c r="K5" s="212">
        <f>K6/M6</f>
        <v>0.99397590361445787</v>
      </c>
      <c r="L5" s="212"/>
      <c r="M5" s="213">
        <f>I5+J5+K5+L5</f>
        <v>1</v>
      </c>
    </row>
    <row r="6" spans="1:13" ht="30" customHeight="1">
      <c r="A6" s="33" t="s">
        <v>123</v>
      </c>
      <c r="B6" s="31" t="s">
        <v>117</v>
      </c>
      <c r="C6" s="31">
        <v>10</v>
      </c>
      <c r="D6" s="22">
        <v>10</v>
      </c>
      <c r="E6" s="22" t="s">
        <v>28</v>
      </c>
      <c r="F6" s="98">
        <v>1</v>
      </c>
      <c r="G6" s="1"/>
      <c r="I6" s="208">
        <f>B36</f>
        <v>0</v>
      </c>
      <c r="J6" s="208">
        <f>C36</f>
        <v>1</v>
      </c>
      <c r="K6" s="208">
        <f>D36+E36</f>
        <v>165</v>
      </c>
      <c r="L6" s="209"/>
      <c r="M6" s="209">
        <f>J6+K6+L6+I6</f>
        <v>166</v>
      </c>
    </row>
    <row r="7" spans="1:13" ht="30" customHeight="1">
      <c r="A7" s="33" t="s">
        <v>127</v>
      </c>
      <c r="B7" s="31" t="s">
        <v>128</v>
      </c>
      <c r="C7" s="31">
        <v>10</v>
      </c>
      <c r="D7" s="22">
        <v>10</v>
      </c>
      <c r="E7" s="22" t="s">
        <v>28</v>
      </c>
      <c r="F7" s="98">
        <v>1</v>
      </c>
      <c r="G7" s="1"/>
    </row>
    <row r="8" spans="1:13" ht="30" customHeight="1">
      <c r="A8" s="33" t="s">
        <v>131</v>
      </c>
      <c r="B8" s="31" t="s">
        <v>128</v>
      </c>
      <c r="C8" s="31">
        <v>10</v>
      </c>
      <c r="D8" s="22">
        <v>9</v>
      </c>
      <c r="E8" s="22" t="s">
        <v>28</v>
      </c>
      <c r="F8" s="98">
        <v>1</v>
      </c>
      <c r="G8" s="1"/>
      <c r="H8" s="206"/>
      <c r="I8" s="197"/>
      <c r="J8" s="197"/>
      <c r="K8" s="197"/>
      <c r="L8" s="197"/>
    </row>
    <row r="9" spans="1:13" ht="30" customHeight="1">
      <c r="A9" s="33" t="s">
        <v>149</v>
      </c>
      <c r="B9" s="30" t="s">
        <v>84</v>
      </c>
      <c r="C9" s="31">
        <v>7</v>
      </c>
      <c r="D9" s="22">
        <v>7</v>
      </c>
      <c r="E9" s="22" t="s">
        <v>28</v>
      </c>
      <c r="F9" s="98">
        <v>1</v>
      </c>
      <c r="G9" s="1"/>
      <c r="H9" s="206"/>
      <c r="I9" s="197"/>
      <c r="J9" s="197"/>
      <c r="K9" s="197"/>
      <c r="L9" s="197"/>
      <c r="M9" s="197"/>
    </row>
    <row r="10" spans="1:13" ht="30" customHeight="1">
      <c r="A10" s="221" t="s">
        <v>151</v>
      </c>
      <c r="B10" s="31" t="s">
        <v>84</v>
      </c>
      <c r="C10" s="31">
        <v>9</v>
      </c>
      <c r="D10" s="22">
        <v>9</v>
      </c>
      <c r="E10" s="22" t="s">
        <v>28</v>
      </c>
      <c r="F10" s="222">
        <v>1</v>
      </c>
      <c r="G10" s="1"/>
    </row>
    <row r="11" spans="1:13" ht="30" customHeight="1">
      <c r="A11" s="110" t="s">
        <v>152</v>
      </c>
      <c r="B11" s="21" t="s">
        <v>84</v>
      </c>
      <c r="C11" s="21">
        <v>9</v>
      </c>
      <c r="D11" s="21">
        <v>9</v>
      </c>
      <c r="E11" s="21" t="s">
        <v>28</v>
      </c>
      <c r="F11" s="124">
        <v>1</v>
      </c>
      <c r="G11" s="1"/>
    </row>
    <row r="12" spans="1:13" ht="30" customHeight="1">
      <c r="A12" s="110" t="s">
        <v>155</v>
      </c>
      <c r="B12" s="21" t="s">
        <v>84</v>
      </c>
      <c r="C12" s="21">
        <v>17</v>
      </c>
      <c r="D12" s="21">
        <v>15</v>
      </c>
      <c r="E12" s="21" t="s">
        <v>28</v>
      </c>
      <c r="F12" s="124">
        <v>1</v>
      </c>
      <c r="G12" s="1"/>
    </row>
    <row r="13" spans="1:13" ht="30" customHeight="1">
      <c r="A13" s="110" t="s">
        <v>157</v>
      </c>
      <c r="B13" s="21" t="s">
        <v>84</v>
      </c>
      <c r="C13" s="21">
        <v>10</v>
      </c>
      <c r="D13" s="21">
        <v>10</v>
      </c>
      <c r="E13" s="21" t="s">
        <v>28</v>
      </c>
      <c r="F13" s="124">
        <v>1</v>
      </c>
      <c r="G13" s="1"/>
    </row>
    <row r="14" spans="1:13" ht="30" customHeight="1">
      <c r="A14" s="110" t="s">
        <v>160</v>
      </c>
      <c r="B14" s="21" t="s">
        <v>117</v>
      </c>
      <c r="C14" s="21">
        <v>9</v>
      </c>
      <c r="D14" s="21">
        <v>6</v>
      </c>
      <c r="E14" s="21" t="s">
        <v>28</v>
      </c>
      <c r="F14" s="124">
        <v>1</v>
      </c>
      <c r="G14" s="1"/>
    </row>
    <row r="15" spans="1:13" ht="30" customHeight="1">
      <c r="A15" s="33" t="s">
        <v>164</v>
      </c>
      <c r="B15" s="31" t="s">
        <v>128</v>
      </c>
      <c r="C15" s="31">
        <v>7</v>
      </c>
      <c r="D15" s="22">
        <v>7</v>
      </c>
      <c r="E15" s="22" t="s">
        <v>28</v>
      </c>
      <c r="F15" s="98">
        <v>1</v>
      </c>
      <c r="G15" s="1"/>
    </row>
    <row r="16" spans="1:13" ht="30" customHeight="1">
      <c r="A16" s="110" t="s">
        <v>166</v>
      </c>
      <c r="B16" s="21" t="s">
        <v>84</v>
      </c>
      <c r="C16" s="21">
        <v>11</v>
      </c>
      <c r="D16" s="21">
        <v>9</v>
      </c>
      <c r="E16" s="22" t="s">
        <v>28</v>
      </c>
      <c r="F16" s="98">
        <v>1</v>
      </c>
      <c r="G16" s="1"/>
    </row>
    <row r="17" spans="1:7" ht="30" customHeight="1">
      <c r="A17" s="110" t="s">
        <v>171</v>
      </c>
      <c r="B17" s="31" t="s">
        <v>128</v>
      </c>
      <c r="C17" s="21">
        <v>6</v>
      </c>
      <c r="D17" s="21">
        <v>6</v>
      </c>
      <c r="E17" s="22" t="s">
        <v>28</v>
      </c>
      <c r="F17" s="98">
        <v>1</v>
      </c>
      <c r="G17" s="1"/>
    </row>
    <row r="18" spans="1:7" ht="30" customHeight="1">
      <c r="A18" s="110" t="s">
        <v>186</v>
      </c>
      <c r="B18" s="21" t="s">
        <v>84</v>
      </c>
      <c r="C18" s="21">
        <v>11</v>
      </c>
      <c r="D18" s="21">
        <v>11</v>
      </c>
      <c r="E18" s="22" t="s">
        <v>28</v>
      </c>
      <c r="F18" s="98">
        <v>1</v>
      </c>
      <c r="G18" s="1"/>
    </row>
    <row r="19" spans="1:7" ht="30" customHeight="1">
      <c r="A19" s="110" t="s">
        <v>187</v>
      </c>
      <c r="B19" s="21" t="s">
        <v>84</v>
      </c>
      <c r="C19" s="21">
        <v>9</v>
      </c>
      <c r="D19" s="21">
        <v>8</v>
      </c>
      <c r="E19" s="22" t="s">
        <v>28</v>
      </c>
      <c r="F19" s="98">
        <v>1</v>
      </c>
      <c r="G19" s="1"/>
    </row>
    <row r="20" spans="1:7" ht="30" customHeight="1">
      <c r="A20" s="110" t="s">
        <v>188</v>
      </c>
      <c r="B20" s="21" t="s">
        <v>84</v>
      </c>
      <c r="C20" s="21">
        <v>15</v>
      </c>
      <c r="D20" s="21">
        <v>15</v>
      </c>
      <c r="E20" s="22" t="s">
        <v>28</v>
      </c>
      <c r="F20" s="222">
        <v>1</v>
      </c>
      <c r="G20" s="1"/>
    </row>
    <row r="21" spans="1:7" ht="30" customHeight="1">
      <c r="A21" s="110" t="s">
        <v>198</v>
      </c>
      <c r="B21" s="21" t="s">
        <v>84</v>
      </c>
      <c r="C21" s="21">
        <v>18</v>
      </c>
      <c r="D21" s="21">
        <v>5</v>
      </c>
      <c r="E21" s="21" t="s">
        <v>28</v>
      </c>
      <c r="F21" s="124">
        <v>1</v>
      </c>
      <c r="G21" s="1"/>
    </row>
    <row r="22" spans="1:7" ht="30" customHeight="1">
      <c r="A22" s="228" t="s">
        <v>199</v>
      </c>
      <c r="B22" s="229" t="s">
        <v>84</v>
      </c>
      <c r="C22" s="229">
        <v>15</v>
      </c>
      <c r="D22" s="229">
        <v>15</v>
      </c>
      <c r="E22" s="229" t="s">
        <v>191</v>
      </c>
      <c r="F22" s="230">
        <v>1</v>
      </c>
      <c r="G22" s="1"/>
    </row>
    <row r="23" spans="1:7" ht="30" customHeight="1">
      <c r="A23" s="118" t="s">
        <v>29</v>
      </c>
      <c r="B23" s="118"/>
      <c r="C23" s="118">
        <f>(C3+C4+C5+C6+C7+C8+C9+C10+C11+C12+C13+C14+C15+C16+C17+C18+C20+C19)</f>
        <v>170</v>
      </c>
      <c r="D23" s="118">
        <f>SUM(D3:D22)</f>
        <v>181</v>
      </c>
      <c r="E23" s="118"/>
      <c r="F23" s="118">
        <f>(F3+F4+F5+F6+F7+F8+F9+F10+F11+F12+F13+F14+F15+F16+F17+F18+F20+F19)</f>
        <v>18</v>
      </c>
      <c r="G23" s="1"/>
    </row>
    <row r="24" spans="1:7" ht="30" customHeight="1" thickBot="1">
      <c r="A24" s="1"/>
      <c r="B24" s="1"/>
      <c r="C24" s="1"/>
      <c r="D24" s="1"/>
      <c r="E24" s="1"/>
      <c r="F24" s="1"/>
      <c r="G24" s="1"/>
    </row>
    <row r="25" spans="1:7" ht="30" customHeight="1" thickBot="1">
      <c r="A25" s="2"/>
      <c r="B25" s="3">
        <v>0</v>
      </c>
      <c r="C25" s="4">
        <v>1</v>
      </c>
      <c r="D25" s="5">
        <v>2</v>
      </c>
      <c r="E25" s="6">
        <v>3</v>
      </c>
      <c r="F25" s="18" t="s">
        <v>29</v>
      </c>
      <c r="G25" s="1"/>
    </row>
    <row r="26" spans="1:7" ht="22" customHeight="1" thickBot="1">
      <c r="A26" s="7" t="s">
        <v>8</v>
      </c>
      <c r="B26" s="28"/>
      <c r="C26" s="28">
        <f>3</f>
        <v>3</v>
      </c>
      <c r="D26" s="28">
        <f>1+9+8+2</f>
        <v>20</v>
      </c>
      <c r="E26" s="28">
        <f>5+1+7+6+10</f>
        <v>29</v>
      </c>
      <c r="F26" s="20">
        <f t="shared" ref="F26:F56" si="0">B26+C26+D26+E26</f>
        <v>52</v>
      </c>
      <c r="G26" s="1"/>
    </row>
    <row r="27" spans="1:7" ht="22" customHeight="1" thickBot="1">
      <c r="A27" s="7" t="s">
        <v>76</v>
      </c>
      <c r="B27" s="28">
        <f>1</f>
        <v>1</v>
      </c>
      <c r="C27" s="28">
        <f>1+2+2+5+1+1+1+1+1</f>
        <v>15</v>
      </c>
      <c r="D27" s="28">
        <f>2+1+3+4+4+3+2+2+3+7+1+3+4+4</f>
        <v>43</v>
      </c>
      <c r="E27" s="28">
        <f>6+4+5+5+1+6+7+4+1+5+8+3</f>
        <v>55</v>
      </c>
      <c r="F27" s="20">
        <f t="shared" si="0"/>
        <v>114</v>
      </c>
      <c r="G27" s="1"/>
    </row>
    <row r="28" spans="1:7" ht="22" customHeight="1" thickBot="1">
      <c r="A28" s="8" t="s">
        <v>9</v>
      </c>
      <c r="B28" s="29"/>
      <c r="C28" s="29">
        <f>1+1</f>
        <v>2</v>
      </c>
      <c r="D28" s="29">
        <f>2+4+2+2+6+5+2+2+1+1+1+3+2+8+2</f>
        <v>43</v>
      </c>
      <c r="E28" s="29">
        <f>6+6+6+6+8+7+1+4+6+13+9+6+6+9+5+8+6+6+3</f>
        <v>121</v>
      </c>
      <c r="F28" s="20">
        <f t="shared" si="0"/>
        <v>166</v>
      </c>
      <c r="G28" s="1"/>
    </row>
    <row r="29" spans="1:7" ht="22" customHeight="1" thickBot="1">
      <c r="A29" s="9" t="s">
        <v>10</v>
      </c>
      <c r="B29" s="25">
        <f>1</f>
        <v>1</v>
      </c>
      <c r="C29" s="25">
        <f>2+4</f>
        <v>6</v>
      </c>
      <c r="D29" s="25">
        <f>2+1+1+1+1+4+1+1+1+5</f>
        <v>18</v>
      </c>
      <c r="E29" s="25">
        <f>6+8+6+10+10+7+6+9+8+14+7+6+3+8+6+10+7+5+5</f>
        <v>141</v>
      </c>
      <c r="F29" s="20">
        <f t="shared" si="0"/>
        <v>166</v>
      </c>
    </row>
    <row r="30" spans="1:7" ht="21" customHeight="1" thickBot="1">
      <c r="A30" s="10" t="s">
        <v>11</v>
      </c>
      <c r="B30" s="27"/>
      <c r="C30" s="27"/>
      <c r="D30" s="27">
        <f>1+3+2+2+2+1+2+1+1+4+1+2</f>
        <v>22</v>
      </c>
      <c r="E30" s="27">
        <f>5+5+4+10+10+9+5+7+8+13+10+6+6+8+6+11+4+14+3</f>
        <v>144</v>
      </c>
      <c r="F30" s="20">
        <f t="shared" si="0"/>
        <v>166</v>
      </c>
    </row>
    <row r="31" spans="1:7" ht="4" customHeight="1">
      <c r="A31" s="14"/>
      <c r="B31" s="231"/>
      <c r="C31" s="231"/>
      <c r="D31" s="231"/>
      <c r="E31" s="231"/>
      <c r="F31" s="231"/>
    </row>
    <row r="32" spans="1:7" ht="16" customHeight="1">
      <c r="A32" s="14"/>
      <c r="B32" s="232"/>
      <c r="C32" s="232"/>
      <c r="D32" s="232"/>
      <c r="E32" s="232"/>
      <c r="F32" s="232"/>
    </row>
    <row r="33" spans="1:13" ht="11" customHeight="1">
      <c r="A33" s="15" t="s">
        <v>12</v>
      </c>
      <c r="B33" s="232"/>
      <c r="C33" s="232"/>
      <c r="D33" s="232"/>
      <c r="E33" s="232"/>
      <c r="F33" s="232"/>
    </row>
    <row r="34" spans="1:13" ht="22" customHeight="1" thickBot="1">
      <c r="A34" s="16" t="s">
        <v>13</v>
      </c>
      <c r="B34" s="233"/>
      <c r="C34" s="233"/>
      <c r="D34" s="233"/>
      <c r="E34" s="233"/>
      <c r="F34" s="233"/>
    </row>
    <row r="35" spans="1:13" ht="22" customHeight="1" thickBot="1">
      <c r="A35" s="10" t="s">
        <v>14</v>
      </c>
      <c r="B35" s="27"/>
      <c r="C35" s="27">
        <f>1</f>
        <v>1</v>
      </c>
      <c r="D35" s="27">
        <f>2+1+2+3+2+1+1+1+2+1+4+3</f>
        <v>23</v>
      </c>
      <c r="E35" s="27">
        <f>6+6+5+10+10+7+4+9+9+13+10+5+6+8+6+9+7+10+2</f>
        <v>142</v>
      </c>
      <c r="F35" s="20">
        <f t="shared" si="0"/>
        <v>166</v>
      </c>
    </row>
    <row r="36" spans="1:13" ht="22" customHeight="1" thickBot="1">
      <c r="A36" s="9" t="s">
        <v>15</v>
      </c>
      <c r="B36" s="25"/>
      <c r="C36" s="25">
        <f>1</f>
        <v>1</v>
      </c>
      <c r="D36" s="25">
        <f>1+2+1+1+2+4+4+1+1+1+1+5+2+1+5+3</f>
        <v>35</v>
      </c>
      <c r="E36" s="25">
        <f>5+6+5+10+9+7+2+5+8+15+9+5+6+4+6+9+7+10+2</f>
        <v>130</v>
      </c>
      <c r="F36" s="20">
        <f t="shared" si="0"/>
        <v>166</v>
      </c>
      <c r="H36" s="211" t="s">
        <v>121</v>
      </c>
      <c r="I36" s="21" t="s">
        <v>43</v>
      </c>
      <c r="J36" s="21" t="s">
        <v>42</v>
      </c>
      <c r="K36" s="214" t="s">
        <v>118</v>
      </c>
      <c r="L36" s="215"/>
      <c r="M36" s="215"/>
    </row>
    <row r="37" spans="1:13" ht="22" customHeight="1" thickBot="1">
      <c r="A37" s="10" t="s">
        <v>16</v>
      </c>
      <c r="B37" s="27">
        <f>2</f>
        <v>2</v>
      </c>
      <c r="C37" s="27">
        <f>1+1+1</f>
        <v>3</v>
      </c>
      <c r="D37" s="27">
        <f>1+3+1+2+2+1+6+3+1+4+5+2+2+4+3</f>
        <v>40</v>
      </c>
      <c r="E37" s="27">
        <f>5+5+5+7+8+7+1+6+8+15+10+6+3+4+6+9+6+8+2</f>
        <v>121</v>
      </c>
      <c r="F37" s="20">
        <f t="shared" si="0"/>
        <v>166</v>
      </c>
      <c r="H37" s="210" t="s">
        <v>16</v>
      </c>
      <c r="I37" s="211">
        <f>I38/M38</f>
        <v>1.2048192771084338E-2</v>
      </c>
      <c r="J37" s="212">
        <f>J38/M38</f>
        <v>1.8072289156626505E-2</v>
      </c>
      <c r="K37" s="212">
        <f>K38/M38</f>
        <v>0.96987951807228912</v>
      </c>
      <c r="L37" s="212"/>
      <c r="M37" s="213">
        <f>I37+J37+K37+L37</f>
        <v>1</v>
      </c>
    </row>
    <row r="38" spans="1:13" ht="22" customHeight="1" thickBot="1">
      <c r="A38" s="9" t="s">
        <v>17</v>
      </c>
      <c r="B38" s="25"/>
      <c r="C38" s="25">
        <f>3+1</f>
        <v>4</v>
      </c>
      <c r="D38" s="25">
        <f>2+2+2+1+3+2+3+2+2+1+3+1+30+6+2+2+2+5+2</f>
        <v>73</v>
      </c>
      <c r="E38" s="25">
        <f>6+6+30+10+7+6+9+6+7+2</f>
        <v>89</v>
      </c>
      <c r="F38" s="20">
        <f t="shared" si="0"/>
        <v>166</v>
      </c>
      <c r="I38" s="208">
        <f>B37</f>
        <v>2</v>
      </c>
      <c r="J38" s="208">
        <f>C37</f>
        <v>3</v>
      </c>
      <c r="K38" s="208">
        <f>D37+E37</f>
        <v>161</v>
      </c>
      <c r="L38" s="209"/>
      <c r="M38" s="209">
        <f>J38+K38+L38+I38</f>
        <v>166</v>
      </c>
    </row>
    <row r="39" spans="1:13" ht="21" customHeight="1" thickBot="1">
      <c r="A39" s="9" t="s">
        <v>18</v>
      </c>
      <c r="B39" s="25">
        <f>1+1+1</f>
        <v>3</v>
      </c>
      <c r="C39" s="25">
        <f>1+4+2</f>
        <v>7</v>
      </c>
      <c r="D39" s="25">
        <f>2+4+1+1+2+1+5+2+1+4+2+34+3+2+3+1</f>
        <v>68</v>
      </c>
      <c r="E39" s="25">
        <f>46+6+6+11+6+9+4</f>
        <v>88</v>
      </c>
      <c r="F39" s="20">
        <f t="shared" si="0"/>
        <v>166</v>
      </c>
      <c r="H39" s="206"/>
    </row>
    <row r="40" spans="1:13" ht="5" customHeight="1">
      <c r="A40" s="14"/>
      <c r="B40" s="234"/>
      <c r="C40" s="234"/>
      <c r="D40" s="234"/>
      <c r="E40" s="234"/>
      <c r="F40" s="234"/>
      <c r="H40" s="206"/>
    </row>
    <row r="41" spans="1:13" ht="21" customHeight="1">
      <c r="A41" s="14"/>
      <c r="B41" s="232"/>
      <c r="C41" s="232"/>
      <c r="D41" s="232"/>
      <c r="E41" s="232"/>
      <c r="F41" s="232"/>
    </row>
    <row r="42" spans="1:13" ht="10" customHeight="1">
      <c r="A42" s="15" t="s">
        <v>19</v>
      </c>
      <c r="B42" s="232"/>
      <c r="C42" s="232"/>
      <c r="D42" s="232"/>
      <c r="E42" s="232"/>
      <c r="F42" s="232"/>
    </row>
    <row r="43" spans="1:13" ht="23" customHeight="1" thickBot="1">
      <c r="A43" s="16" t="s">
        <v>20</v>
      </c>
      <c r="B43" s="233"/>
      <c r="C43" s="233"/>
      <c r="D43" s="233"/>
      <c r="E43" s="233"/>
      <c r="F43" s="233"/>
    </row>
    <row r="44" spans="1:13" ht="23" customHeight="1" thickBot="1">
      <c r="A44" s="9" t="s">
        <v>21</v>
      </c>
      <c r="B44" s="25"/>
      <c r="C44" s="25">
        <f>1</f>
        <v>1</v>
      </c>
      <c r="D44" s="25">
        <f>2+1+1+1+1+1</f>
        <v>7</v>
      </c>
      <c r="E44" s="25">
        <f>6+8+6+10+10+7+6+9+9+15+10+6+7+8+6+10+7+13+5</f>
        <v>158</v>
      </c>
      <c r="F44" s="20">
        <f t="shared" si="0"/>
        <v>166</v>
      </c>
    </row>
    <row r="45" spans="1:13" ht="23" customHeight="1" thickBot="1">
      <c r="A45" s="11" t="s">
        <v>22</v>
      </c>
      <c r="B45" s="25"/>
      <c r="C45" s="25"/>
      <c r="D45" s="25">
        <f>1+1+1+1+1+1+1+2</f>
        <v>9</v>
      </c>
      <c r="E45" s="25">
        <f>6+8+6+10+10+8+6+9+9+15+9+6+6+8+6+10+7+13+5</f>
        <v>157</v>
      </c>
      <c r="F45" s="19">
        <f t="shared" si="0"/>
        <v>166</v>
      </c>
    </row>
    <row r="46" spans="1:13" ht="23" customHeight="1" thickBot="1">
      <c r="A46" s="12" t="s">
        <v>23</v>
      </c>
      <c r="B46" s="26"/>
      <c r="C46" s="26"/>
      <c r="D46" s="26">
        <f>1+1+1+1+1+2+1+1+1+3+3+2</f>
        <v>18</v>
      </c>
      <c r="E46" s="25">
        <f>6+7+6+10+9+8+6+9+8+13+9+6+6+9+6+10+5+12+3</f>
        <v>148</v>
      </c>
      <c r="F46" s="20">
        <f t="shared" si="0"/>
        <v>166</v>
      </c>
    </row>
    <row r="47" spans="1:13" ht="4" customHeight="1">
      <c r="A47" s="13"/>
      <c r="B47" s="231"/>
      <c r="C47" s="231"/>
      <c r="D47" s="231"/>
      <c r="E47" s="231"/>
      <c r="F47" s="234"/>
    </row>
    <row r="48" spans="1:13" ht="21" customHeight="1">
      <c r="A48" s="14"/>
      <c r="B48" s="232"/>
      <c r="C48" s="232"/>
      <c r="D48" s="232"/>
      <c r="E48" s="232"/>
      <c r="F48" s="232"/>
    </row>
    <row r="49" spans="1:13" ht="9" customHeight="1">
      <c r="A49" s="15" t="s">
        <v>24</v>
      </c>
      <c r="B49" s="232"/>
      <c r="C49" s="232"/>
      <c r="D49" s="232"/>
      <c r="E49" s="232"/>
      <c r="F49" s="232"/>
    </row>
    <row r="50" spans="1:13" ht="23" customHeight="1" thickBot="1">
      <c r="A50" s="16" t="s">
        <v>20</v>
      </c>
      <c r="B50" s="233"/>
      <c r="C50" s="233"/>
      <c r="D50" s="233"/>
      <c r="E50" s="233"/>
      <c r="F50" s="233"/>
    </row>
    <row r="51" spans="1:13" ht="23" customHeight="1" thickBot="1">
      <c r="A51" s="9" t="s">
        <v>25</v>
      </c>
      <c r="B51" s="25"/>
      <c r="C51" s="25">
        <f>3</f>
        <v>3</v>
      </c>
      <c r="D51" s="25">
        <f>1+1+1+3+1+1+1+4+1</f>
        <v>14</v>
      </c>
      <c r="E51" s="25">
        <f>6+8+6+10+10+8+6+9+8+9+9+6+6+9+6+10+8+11+4</f>
        <v>149</v>
      </c>
      <c r="F51" s="19">
        <f t="shared" si="0"/>
        <v>166</v>
      </c>
    </row>
    <row r="52" spans="1:13" ht="23" customHeight="1" thickBot="1">
      <c r="A52" s="11" t="s">
        <v>59</v>
      </c>
      <c r="B52" s="25"/>
      <c r="C52" s="25">
        <f>1</f>
        <v>1</v>
      </c>
      <c r="D52" s="25">
        <f>2+2+4+1+2</f>
        <v>11</v>
      </c>
      <c r="E52" s="25">
        <f>6+8+8+4+5+5+6</f>
        <v>42</v>
      </c>
      <c r="F52" s="20">
        <f t="shared" si="0"/>
        <v>54</v>
      </c>
    </row>
    <row r="53" spans="1:13" ht="23" customHeight="1" thickBot="1">
      <c r="A53" s="11" t="s">
        <v>62</v>
      </c>
      <c r="B53" s="25">
        <f>1+8</f>
        <v>9</v>
      </c>
      <c r="C53" s="25">
        <f>1+4+1</f>
        <v>6</v>
      </c>
      <c r="D53" s="25">
        <f>2+2+2+2+4+2+1+3+4+2</f>
        <v>24</v>
      </c>
      <c r="E53" s="25">
        <f>6+3+5+8+7+7+2+7+10+5+10+3</f>
        <v>73</v>
      </c>
      <c r="F53" s="20">
        <f t="shared" si="0"/>
        <v>112</v>
      </c>
    </row>
    <row r="54" spans="1:13" ht="23" customHeight="1" thickBot="1">
      <c r="A54" s="11" t="s">
        <v>60</v>
      </c>
      <c r="B54" s="25"/>
      <c r="C54" s="25"/>
      <c r="D54" s="25">
        <f>1+1+2+1</f>
        <v>5</v>
      </c>
      <c r="E54" s="25">
        <f>5+9+10+7+6+6+6</f>
        <v>49</v>
      </c>
      <c r="F54" s="20">
        <f t="shared" si="0"/>
        <v>54</v>
      </c>
    </row>
    <row r="55" spans="1:13" ht="27" customHeight="1" thickBot="1">
      <c r="A55" s="11" t="s">
        <v>61</v>
      </c>
      <c r="B55" s="25">
        <f>4</f>
        <v>4</v>
      </c>
      <c r="C55" s="25">
        <f>1+2</f>
        <v>3</v>
      </c>
      <c r="D55" s="25">
        <f>3+2+2+1+5+2+1+1+5+4</f>
        <v>26</v>
      </c>
      <c r="E55" s="25">
        <f>8+3+5+7+8+9+4+7+10+7+10+1</f>
        <v>79</v>
      </c>
      <c r="F55" s="20">
        <f>B55+C55+D55+E55</f>
        <v>112</v>
      </c>
    </row>
    <row r="56" spans="1:13" ht="23" customHeight="1" thickBot="1">
      <c r="A56" s="9" t="s">
        <v>26</v>
      </c>
      <c r="B56" s="25"/>
      <c r="C56" s="25">
        <f>3</f>
        <v>3</v>
      </c>
      <c r="D56" s="25">
        <f>1+1+1+3+3+2+1+2+1+2+4</f>
        <v>21</v>
      </c>
      <c r="E56" s="25">
        <f>6+8+5+9+10+8+4+9+9+12+8+6+6+7+6+10+6+8+5</f>
        <v>142</v>
      </c>
      <c r="F56" s="20">
        <f t="shared" si="0"/>
        <v>166</v>
      </c>
    </row>
    <row r="57" spans="1:13">
      <c r="F57" s="17"/>
    </row>
    <row r="62" spans="1:13" ht="17">
      <c r="H62" s="211" t="s">
        <v>121</v>
      </c>
      <c r="I62" s="21" t="s">
        <v>43</v>
      </c>
      <c r="J62" s="21" t="s">
        <v>42</v>
      </c>
      <c r="K62" s="214" t="s">
        <v>118</v>
      </c>
      <c r="L62" s="215"/>
      <c r="M62" s="215"/>
    </row>
    <row r="63" spans="1:13" ht="26">
      <c r="H63" s="210" t="s">
        <v>26</v>
      </c>
      <c r="I63" s="211">
        <f>I64/M64</f>
        <v>0</v>
      </c>
      <c r="J63" s="212">
        <f>J64/M64</f>
        <v>1.8072289156626505E-2</v>
      </c>
      <c r="K63" s="212">
        <f>K64/M64</f>
        <v>0.98192771084337349</v>
      </c>
      <c r="L63" s="212"/>
      <c r="M63" s="213">
        <f>I63+J63+K63+L63</f>
        <v>1</v>
      </c>
    </row>
    <row r="64" spans="1:13">
      <c r="I64" s="208">
        <f>B56</f>
        <v>0</v>
      </c>
      <c r="J64" s="208">
        <f>C56</f>
        <v>3</v>
      </c>
      <c r="K64" s="208">
        <f>D56+E56</f>
        <v>163</v>
      </c>
      <c r="L64" s="209"/>
      <c r="M64" s="209">
        <f>J64+K64+L64+I64</f>
        <v>166</v>
      </c>
    </row>
    <row r="68" spans="8:13">
      <c r="I68" s="81"/>
      <c r="J68" s="81"/>
      <c r="K68" s="80"/>
      <c r="L68" s="81"/>
    </row>
    <row r="69" spans="8:13">
      <c r="H69" s="207"/>
      <c r="I69" s="197"/>
      <c r="J69" s="197"/>
      <c r="K69" s="197"/>
      <c r="L69" s="197"/>
      <c r="M69" s="197"/>
    </row>
    <row r="70" spans="8:13">
      <c r="H70" s="206"/>
    </row>
    <row r="94" spans="8:13" ht="17">
      <c r="H94" s="211" t="s">
        <v>121</v>
      </c>
      <c r="I94" s="21" t="s">
        <v>43</v>
      </c>
      <c r="J94" s="21" t="s">
        <v>42</v>
      </c>
      <c r="K94" s="214" t="s">
        <v>118</v>
      </c>
      <c r="L94" s="215"/>
      <c r="M94" s="215"/>
    </row>
    <row r="95" spans="8:13" ht="26">
      <c r="H95" s="210" t="s">
        <v>18</v>
      </c>
      <c r="I95" s="211">
        <f>I96/M96</f>
        <v>1.8072289156626505E-2</v>
      </c>
      <c r="J95" s="212">
        <f>J96/M96</f>
        <v>4.2168674698795178E-2</v>
      </c>
      <c r="K95" s="212">
        <f>K96/M96</f>
        <v>0.93975903614457834</v>
      </c>
      <c r="L95" s="212"/>
      <c r="M95" s="213">
        <f>I95+J95+K95+L95</f>
        <v>1</v>
      </c>
    </row>
    <row r="96" spans="8:13">
      <c r="I96" s="208">
        <f>B39</f>
        <v>3</v>
      </c>
      <c r="J96" s="208">
        <f>C39</f>
        <v>7</v>
      </c>
      <c r="K96" s="208">
        <f>D39+E39</f>
        <v>156</v>
      </c>
      <c r="L96" s="209"/>
      <c r="M96" s="209">
        <f>J96+K96+L96+I96</f>
        <v>166</v>
      </c>
    </row>
  </sheetData>
  <mergeCells count="16">
    <mergeCell ref="F31:F34"/>
    <mergeCell ref="B40:B43"/>
    <mergeCell ref="C40:C43"/>
    <mergeCell ref="D40:D43"/>
    <mergeCell ref="E40:E43"/>
    <mergeCell ref="F40:F43"/>
    <mergeCell ref="A1:D1"/>
    <mergeCell ref="B31:B34"/>
    <mergeCell ref="C31:C34"/>
    <mergeCell ref="D31:D34"/>
    <mergeCell ref="E31:E34"/>
    <mergeCell ref="B47:B50"/>
    <mergeCell ref="C47:C50"/>
    <mergeCell ref="D47:D50"/>
    <mergeCell ref="E47:E50"/>
    <mergeCell ref="F47:F50"/>
  </mergeCells>
  <pageMargins left="0.7" right="0.7" top="0.75" bottom="0.75" header="0.3" footer="0.3"/>
  <pageSetup paperSize="9" scale="32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85D2B-469A-5244-8190-A3C3B39ACE81}">
  <dimension ref="A1:M84"/>
  <sheetViews>
    <sheetView zoomScale="81" zoomScaleNormal="75" workbookViewId="0">
      <selection activeCell="G61" sqref="G61"/>
    </sheetView>
  </sheetViews>
  <sheetFormatPr baseColWidth="10" defaultRowHeight="16"/>
  <cols>
    <col min="1" max="1" width="45.6640625" customWidth="1"/>
    <col min="2" max="5" width="13.83203125" customWidth="1"/>
    <col min="6" max="6" width="15.33203125" customWidth="1"/>
    <col min="7" max="11" width="17.83203125" customWidth="1"/>
    <col min="12" max="12" width="17.33203125" customWidth="1"/>
  </cols>
  <sheetData>
    <row r="1" spans="1:13" ht="24">
      <c r="A1" s="235" t="s">
        <v>54</v>
      </c>
      <c r="B1" s="235"/>
      <c r="C1" s="235"/>
      <c r="D1" s="235"/>
    </row>
    <row r="2" spans="1:13" ht="45" customHeight="1">
      <c r="A2" s="24" t="s">
        <v>30</v>
      </c>
      <c r="B2" s="24" t="s">
        <v>51</v>
      </c>
      <c r="C2" s="24" t="s">
        <v>6</v>
      </c>
      <c r="D2" s="24" t="s">
        <v>7</v>
      </c>
      <c r="E2" s="24" t="s">
        <v>27</v>
      </c>
      <c r="F2" s="96" t="s">
        <v>66</v>
      </c>
      <c r="G2" s="1"/>
      <c r="H2" s="1"/>
    </row>
    <row r="3" spans="1:13" ht="30" customHeight="1">
      <c r="A3" s="114" t="s">
        <v>34</v>
      </c>
      <c r="B3" s="30" t="s">
        <v>67</v>
      </c>
      <c r="C3" s="34" t="s">
        <v>122</v>
      </c>
      <c r="D3" s="34" t="s">
        <v>35</v>
      </c>
      <c r="E3" s="22" t="s">
        <v>28</v>
      </c>
      <c r="F3" s="97">
        <v>1</v>
      </c>
      <c r="G3" s="1"/>
      <c r="H3" s="211" t="s">
        <v>121</v>
      </c>
      <c r="I3" s="21" t="s">
        <v>43</v>
      </c>
      <c r="J3" s="21" t="s">
        <v>42</v>
      </c>
      <c r="K3" s="214" t="s">
        <v>118</v>
      </c>
      <c r="L3" s="215"/>
      <c r="M3" s="215"/>
    </row>
    <row r="4" spans="1:13" ht="35" customHeight="1">
      <c r="A4" s="34"/>
      <c r="B4" s="34"/>
      <c r="C4" s="34"/>
      <c r="D4" s="34"/>
      <c r="E4" s="34"/>
      <c r="F4" s="98"/>
      <c r="G4" s="1"/>
      <c r="H4" s="210" t="s">
        <v>15</v>
      </c>
      <c r="I4" s="211">
        <f>I5/M5</f>
        <v>0</v>
      </c>
      <c r="J4" s="212">
        <f>J5/M5</f>
        <v>0</v>
      </c>
      <c r="K4" s="212">
        <f>K5/M5</f>
        <v>1</v>
      </c>
      <c r="L4" s="212"/>
      <c r="M4" s="213">
        <f>I4+J4+K4+L4</f>
        <v>1</v>
      </c>
    </row>
    <row r="5" spans="1:13" ht="30" customHeight="1">
      <c r="A5" s="34"/>
      <c r="B5" s="34"/>
      <c r="C5" s="34"/>
      <c r="D5" s="34"/>
      <c r="E5" s="34"/>
      <c r="F5" s="98"/>
      <c r="G5" s="1"/>
      <c r="I5" s="208">
        <f>B22</f>
        <v>0</v>
      </c>
      <c r="J5" s="208">
        <f>C22</f>
        <v>0</v>
      </c>
      <c r="K5" s="208">
        <f>D22+E22</f>
        <v>5</v>
      </c>
      <c r="L5" s="209"/>
      <c r="M5" s="209">
        <f>J5+K5+L5+I5</f>
        <v>5</v>
      </c>
    </row>
    <row r="6" spans="1:13" ht="30" customHeight="1">
      <c r="A6" s="35"/>
      <c r="B6" s="35"/>
      <c r="C6" s="35"/>
      <c r="D6" s="35"/>
      <c r="E6" s="35"/>
      <c r="F6" s="98"/>
      <c r="G6" s="1"/>
    </row>
    <row r="7" spans="1:13" ht="30" customHeight="1">
      <c r="A7" s="36"/>
      <c r="B7" s="36"/>
      <c r="C7" s="36"/>
      <c r="D7" s="36"/>
      <c r="E7" s="36"/>
      <c r="F7" s="98"/>
      <c r="G7" s="1"/>
      <c r="H7" s="206"/>
      <c r="I7" s="197"/>
      <c r="J7" s="197"/>
      <c r="K7" s="197"/>
      <c r="L7" s="197"/>
    </row>
    <row r="8" spans="1:13" ht="30" customHeight="1">
      <c r="A8" s="36"/>
      <c r="B8" s="36"/>
      <c r="C8" s="36"/>
      <c r="D8" s="36"/>
      <c r="E8" s="36"/>
      <c r="F8" s="98"/>
      <c r="G8" s="1"/>
      <c r="H8" s="206"/>
      <c r="I8" s="197"/>
      <c r="J8" s="197"/>
      <c r="K8" s="197"/>
      <c r="L8" s="197"/>
      <c r="M8" s="197"/>
    </row>
    <row r="9" spans="1:13" ht="30" customHeight="1">
      <c r="A9" s="117" t="s">
        <v>29</v>
      </c>
      <c r="B9" s="118"/>
      <c r="C9" s="125">
        <f>(C3+C4+C5+C7+C6+C8)</f>
        <v>7</v>
      </c>
      <c r="D9" s="125">
        <f t="shared" ref="D9:F9" si="0">(D3+D4+D5+D7+D6+D8)</f>
        <v>5</v>
      </c>
      <c r="E9" s="125"/>
      <c r="F9" s="125">
        <f t="shared" si="0"/>
        <v>1</v>
      </c>
      <c r="G9" s="1"/>
    </row>
    <row r="10" spans="1:13" ht="30" customHeight="1" thickBot="1">
      <c r="A10" s="1"/>
      <c r="B10" s="1"/>
      <c r="C10" s="1"/>
      <c r="D10" s="1"/>
      <c r="E10" s="1"/>
      <c r="F10" s="1"/>
      <c r="G10" s="1"/>
    </row>
    <row r="11" spans="1:13" ht="30" customHeight="1" thickBot="1">
      <c r="A11" s="2"/>
      <c r="B11" s="3">
        <v>0</v>
      </c>
      <c r="C11" s="4">
        <v>1</v>
      </c>
      <c r="D11" s="5">
        <v>2</v>
      </c>
      <c r="E11" s="6">
        <v>3</v>
      </c>
      <c r="F11" s="18" t="s">
        <v>29</v>
      </c>
      <c r="G11" s="1"/>
    </row>
    <row r="12" spans="1:13" ht="22" customHeight="1" thickBot="1">
      <c r="A12" s="7" t="s">
        <v>101</v>
      </c>
      <c r="B12" s="28"/>
      <c r="C12" s="28">
        <v>1</v>
      </c>
      <c r="D12" s="28">
        <v>2</v>
      </c>
      <c r="E12" s="28">
        <v>2</v>
      </c>
      <c r="F12" s="20">
        <f t="shared" ref="F12:F42" si="1">B12+C12+D12+E12</f>
        <v>5</v>
      </c>
      <c r="G12" s="1"/>
    </row>
    <row r="13" spans="1:13" ht="22" customHeight="1" thickBot="1">
      <c r="A13" s="7" t="s">
        <v>76</v>
      </c>
      <c r="B13" s="28"/>
      <c r="C13" s="28"/>
      <c r="D13" s="28"/>
      <c r="E13" s="28"/>
      <c r="F13" s="20"/>
      <c r="G13" s="1"/>
    </row>
    <row r="14" spans="1:13" ht="22" customHeight="1" thickBot="1">
      <c r="A14" s="8" t="s">
        <v>9</v>
      </c>
      <c r="B14" s="29"/>
      <c r="C14" s="29"/>
      <c r="D14" s="29">
        <v>1</v>
      </c>
      <c r="E14" s="29">
        <v>4</v>
      </c>
      <c r="F14" s="20">
        <f t="shared" si="1"/>
        <v>5</v>
      </c>
      <c r="G14" s="1"/>
    </row>
    <row r="15" spans="1:13" ht="22" customHeight="1" thickBot="1">
      <c r="A15" s="9" t="s">
        <v>10</v>
      </c>
      <c r="B15" s="25"/>
      <c r="C15" s="25"/>
      <c r="D15" s="25">
        <v>1</v>
      </c>
      <c r="E15" s="25">
        <v>4</v>
      </c>
      <c r="F15" s="20">
        <f t="shared" si="1"/>
        <v>5</v>
      </c>
      <c r="G15" s="1"/>
    </row>
    <row r="16" spans="1:13" ht="22" customHeight="1" thickBot="1">
      <c r="A16" s="10" t="s">
        <v>11</v>
      </c>
      <c r="B16" s="27"/>
      <c r="C16" s="27"/>
      <c r="D16" s="27">
        <v>1</v>
      </c>
      <c r="E16" s="27">
        <v>4</v>
      </c>
      <c r="F16" s="20">
        <f t="shared" si="1"/>
        <v>5</v>
      </c>
    </row>
    <row r="17" spans="1:13" ht="10" customHeight="1">
      <c r="A17" s="14"/>
      <c r="B17" s="231"/>
      <c r="C17" s="231"/>
      <c r="D17" s="231"/>
      <c r="E17" s="231"/>
      <c r="F17" s="231"/>
    </row>
    <row r="18" spans="1:13" ht="4" customHeight="1">
      <c r="A18" s="14"/>
      <c r="B18" s="232"/>
      <c r="C18" s="232"/>
      <c r="D18" s="232"/>
      <c r="E18" s="232"/>
      <c r="F18" s="232"/>
    </row>
    <row r="19" spans="1:13" ht="16" customHeight="1">
      <c r="A19" s="15" t="s">
        <v>12</v>
      </c>
      <c r="B19" s="232"/>
      <c r="C19" s="232"/>
      <c r="D19" s="232"/>
      <c r="E19" s="232"/>
      <c r="F19" s="232"/>
    </row>
    <row r="20" spans="1:13" ht="11" customHeight="1" thickBot="1">
      <c r="A20" s="16" t="s">
        <v>13</v>
      </c>
      <c r="B20" s="233"/>
      <c r="C20" s="233"/>
      <c r="D20" s="233"/>
      <c r="E20" s="233"/>
      <c r="F20" s="233"/>
    </row>
    <row r="21" spans="1:13" ht="22" customHeight="1" thickBot="1">
      <c r="A21" s="10" t="s">
        <v>14</v>
      </c>
      <c r="B21" s="27"/>
      <c r="C21" s="27"/>
      <c r="D21" s="27">
        <v>2</v>
      </c>
      <c r="E21" s="27">
        <v>3</v>
      </c>
      <c r="F21" s="20">
        <f t="shared" si="1"/>
        <v>5</v>
      </c>
    </row>
    <row r="22" spans="1:13" ht="22" customHeight="1" thickBot="1">
      <c r="A22" s="9" t="s">
        <v>15</v>
      </c>
      <c r="B22" s="25"/>
      <c r="C22" s="25"/>
      <c r="D22" s="25">
        <v>1</v>
      </c>
      <c r="E22" s="25">
        <v>4</v>
      </c>
      <c r="F22" s="20">
        <f t="shared" si="1"/>
        <v>5</v>
      </c>
    </row>
    <row r="23" spans="1:13" ht="22" customHeight="1" thickBot="1">
      <c r="A23" s="10" t="s">
        <v>16</v>
      </c>
      <c r="B23" s="27"/>
      <c r="C23" s="27"/>
      <c r="D23" s="27">
        <v>3</v>
      </c>
      <c r="E23" s="27">
        <v>2</v>
      </c>
      <c r="F23" s="20">
        <f t="shared" si="1"/>
        <v>5</v>
      </c>
    </row>
    <row r="24" spans="1:13" ht="22" customHeight="1" thickBot="1">
      <c r="A24" s="9" t="s">
        <v>17</v>
      </c>
      <c r="B24" s="25"/>
      <c r="C24" s="25">
        <v>1</v>
      </c>
      <c r="D24" s="25">
        <v>3</v>
      </c>
      <c r="E24" s="25">
        <v>1</v>
      </c>
      <c r="F24" s="20">
        <f t="shared" si="1"/>
        <v>5</v>
      </c>
      <c r="H24" s="211" t="s">
        <v>121</v>
      </c>
      <c r="I24" s="21" t="s">
        <v>43</v>
      </c>
      <c r="J24" s="21" t="s">
        <v>42</v>
      </c>
      <c r="K24" s="214" t="s">
        <v>118</v>
      </c>
      <c r="L24" s="215"/>
      <c r="M24" s="215"/>
    </row>
    <row r="25" spans="1:13" ht="22" customHeight="1" thickBot="1">
      <c r="A25" s="9" t="s">
        <v>18</v>
      </c>
      <c r="B25" s="25"/>
      <c r="C25" s="25">
        <v>1</v>
      </c>
      <c r="D25" s="25">
        <v>3</v>
      </c>
      <c r="E25" s="25">
        <v>1</v>
      </c>
      <c r="F25" s="20">
        <f t="shared" si="1"/>
        <v>5</v>
      </c>
      <c r="H25" s="210" t="s">
        <v>16</v>
      </c>
      <c r="I25" s="211">
        <f>I26/M26</f>
        <v>0</v>
      </c>
      <c r="J25" s="212">
        <f>J26/M26</f>
        <v>0</v>
      </c>
      <c r="K25" s="212">
        <f>K26/M26</f>
        <v>1</v>
      </c>
      <c r="L25" s="212"/>
      <c r="M25" s="213">
        <f>I25+J25+K25+L25</f>
        <v>1</v>
      </c>
    </row>
    <row r="26" spans="1:13" ht="22" customHeight="1">
      <c r="A26" s="14"/>
      <c r="B26" s="234"/>
      <c r="C26" s="234"/>
      <c r="D26" s="234"/>
      <c r="E26" s="234"/>
      <c r="F26" s="234"/>
      <c r="I26" s="208">
        <f>B23</f>
        <v>0</v>
      </c>
      <c r="J26" s="208">
        <f>C23</f>
        <v>0</v>
      </c>
      <c r="K26" s="208">
        <f>D23+E23</f>
        <v>5</v>
      </c>
      <c r="L26" s="209"/>
      <c r="M26" s="209">
        <f>J26+K26+L26+I26</f>
        <v>5</v>
      </c>
    </row>
    <row r="27" spans="1:13" ht="5" customHeight="1">
      <c r="A27" s="14"/>
      <c r="B27" s="232"/>
      <c r="C27" s="232"/>
      <c r="D27" s="232"/>
      <c r="E27" s="232"/>
      <c r="F27" s="232"/>
      <c r="H27" s="206"/>
    </row>
    <row r="28" spans="1:13" ht="21" customHeight="1">
      <c r="A28" s="15" t="s">
        <v>19</v>
      </c>
      <c r="B28" s="232"/>
      <c r="C28" s="232"/>
      <c r="D28" s="232"/>
      <c r="E28" s="232"/>
      <c r="F28" s="232"/>
      <c r="H28" s="206"/>
    </row>
    <row r="29" spans="1:13" ht="10" customHeight="1" thickBot="1">
      <c r="A29" s="16" t="s">
        <v>20</v>
      </c>
      <c r="B29" s="233"/>
      <c r="C29" s="233"/>
      <c r="D29" s="233"/>
      <c r="E29" s="233"/>
      <c r="F29" s="233"/>
    </row>
    <row r="30" spans="1:13" ht="23" customHeight="1" thickBot="1">
      <c r="A30" s="9" t="s">
        <v>21</v>
      </c>
      <c r="B30" s="25"/>
      <c r="C30" s="25"/>
      <c r="D30" s="25"/>
      <c r="E30" s="25">
        <v>5</v>
      </c>
      <c r="F30" s="20">
        <f t="shared" si="1"/>
        <v>5</v>
      </c>
    </row>
    <row r="31" spans="1:13" ht="23" customHeight="1" thickBot="1">
      <c r="A31" s="11" t="s">
        <v>22</v>
      </c>
      <c r="B31" s="25"/>
      <c r="C31" s="25"/>
      <c r="D31" s="25"/>
      <c r="E31" s="25">
        <v>5</v>
      </c>
      <c r="F31" s="19">
        <f t="shared" si="1"/>
        <v>5</v>
      </c>
    </row>
    <row r="32" spans="1:13" ht="23" customHeight="1" thickBot="1">
      <c r="A32" s="12" t="s">
        <v>23</v>
      </c>
      <c r="B32" s="26"/>
      <c r="C32" s="26">
        <v>1</v>
      </c>
      <c r="D32" s="26"/>
      <c r="E32" s="25">
        <v>4</v>
      </c>
      <c r="F32" s="20">
        <f t="shared" si="1"/>
        <v>5</v>
      </c>
    </row>
    <row r="33" spans="1:6" ht="9" customHeight="1">
      <c r="A33" s="13"/>
      <c r="B33" s="231"/>
      <c r="C33" s="231"/>
      <c r="D33" s="231"/>
      <c r="E33" s="231"/>
      <c r="F33" s="234"/>
    </row>
    <row r="34" spans="1:6" ht="4" customHeight="1">
      <c r="A34" s="14"/>
      <c r="B34" s="232"/>
      <c r="C34" s="232"/>
      <c r="D34" s="232"/>
      <c r="E34" s="232"/>
      <c r="F34" s="232"/>
    </row>
    <row r="35" spans="1:6" ht="21" customHeight="1">
      <c r="A35" s="15" t="s">
        <v>24</v>
      </c>
      <c r="B35" s="232"/>
      <c r="C35" s="232"/>
      <c r="D35" s="232"/>
      <c r="E35" s="232"/>
      <c r="F35" s="232"/>
    </row>
    <row r="36" spans="1:6" ht="9" customHeight="1" thickBot="1">
      <c r="A36" s="16" t="s">
        <v>20</v>
      </c>
      <c r="B36" s="233"/>
      <c r="C36" s="233"/>
      <c r="D36" s="233"/>
      <c r="E36" s="233"/>
      <c r="F36" s="233"/>
    </row>
    <row r="37" spans="1:6" ht="23" customHeight="1" thickBot="1">
      <c r="A37" s="9" t="s">
        <v>25</v>
      </c>
      <c r="B37" s="25"/>
      <c r="C37" s="25"/>
      <c r="D37" s="25">
        <v>1</v>
      </c>
      <c r="E37" s="25">
        <v>4</v>
      </c>
      <c r="F37" s="19">
        <f t="shared" si="1"/>
        <v>5</v>
      </c>
    </row>
    <row r="38" spans="1:6" ht="23" customHeight="1" thickBot="1">
      <c r="A38" s="11" t="s">
        <v>59</v>
      </c>
      <c r="B38" s="25"/>
      <c r="C38" s="25"/>
      <c r="D38" s="25"/>
      <c r="E38" s="25"/>
      <c r="F38" s="20">
        <f t="shared" si="1"/>
        <v>0</v>
      </c>
    </row>
    <row r="39" spans="1:6" ht="23" customHeight="1" thickBot="1">
      <c r="A39" s="11" t="s">
        <v>62</v>
      </c>
      <c r="B39" s="25"/>
      <c r="C39" s="25"/>
      <c r="D39" s="25"/>
      <c r="E39" s="25"/>
      <c r="F39" s="20"/>
    </row>
    <row r="40" spans="1:6" ht="23" customHeight="1" thickBot="1">
      <c r="A40" s="11" t="s">
        <v>60</v>
      </c>
      <c r="B40" s="25"/>
      <c r="C40" s="25"/>
      <c r="D40" s="25"/>
      <c r="E40" s="25"/>
      <c r="F40" s="20">
        <f t="shared" si="1"/>
        <v>0</v>
      </c>
    </row>
    <row r="41" spans="1:6" ht="23" customHeight="1" thickBot="1">
      <c r="A41" s="11" t="s">
        <v>61</v>
      </c>
      <c r="B41" s="25"/>
      <c r="C41" s="25"/>
      <c r="D41" s="25"/>
      <c r="E41" s="25"/>
      <c r="F41" s="20"/>
    </row>
    <row r="42" spans="1:6" ht="23" customHeight="1" thickBot="1">
      <c r="A42" s="9" t="s">
        <v>26</v>
      </c>
      <c r="B42" s="25"/>
      <c r="C42" s="25"/>
      <c r="D42" s="25"/>
      <c r="E42" s="25">
        <v>5</v>
      </c>
      <c r="F42" s="20">
        <f t="shared" si="1"/>
        <v>5</v>
      </c>
    </row>
    <row r="43" spans="1:6">
      <c r="F43" s="17"/>
    </row>
    <row r="45" spans="1:6" ht="9" customHeight="1"/>
    <row r="50" spans="8:13" ht="17">
      <c r="H50" s="211" t="s">
        <v>121</v>
      </c>
      <c r="I50" s="21" t="s">
        <v>43</v>
      </c>
      <c r="J50" s="21" t="s">
        <v>42</v>
      </c>
      <c r="K50" s="214" t="s">
        <v>118</v>
      </c>
      <c r="L50" s="215"/>
      <c r="M50" s="215"/>
    </row>
    <row r="51" spans="8:13" ht="26">
      <c r="H51" s="210" t="s">
        <v>26</v>
      </c>
      <c r="I51" s="211">
        <f>I52/M52</f>
        <v>0</v>
      </c>
      <c r="J51" s="212">
        <f>J52/M52</f>
        <v>0</v>
      </c>
      <c r="K51" s="212">
        <f>K52/M52</f>
        <v>1</v>
      </c>
      <c r="L51" s="212"/>
      <c r="M51" s="213">
        <f>I51+J51+K51+L51</f>
        <v>1</v>
      </c>
    </row>
    <row r="52" spans="8:13">
      <c r="I52" s="208">
        <f>B42</f>
        <v>0</v>
      </c>
      <c r="J52" s="208">
        <f>C42</f>
        <v>0</v>
      </c>
      <c r="K52" s="208">
        <f>D42+E42</f>
        <v>5</v>
      </c>
      <c r="L52" s="208"/>
      <c r="M52" s="209">
        <f>J52+K52+L52+I52</f>
        <v>5</v>
      </c>
    </row>
    <row r="56" spans="8:13">
      <c r="I56" s="81"/>
      <c r="J56" s="81"/>
      <c r="K56" s="80"/>
      <c r="L56" s="81"/>
    </row>
    <row r="57" spans="8:13">
      <c r="H57" s="207"/>
      <c r="I57" s="197"/>
      <c r="J57" s="197"/>
      <c r="K57" s="197"/>
      <c r="L57" s="197"/>
      <c r="M57" s="197"/>
    </row>
    <row r="58" spans="8:13">
      <c r="H58" s="206"/>
    </row>
    <row r="82" spans="8:13" ht="17">
      <c r="H82" s="211" t="s">
        <v>121</v>
      </c>
      <c r="I82" s="21" t="s">
        <v>43</v>
      </c>
      <c r="J82" s="21" t="s">
        <v>42</v>
      </c>
      <c r="K82" s="214" t="s">
        <v>118</v>
      </c>
      <c r="L82" s="215"/>
      <c r="M82" s="215"/>
    </row>
    <row r="83" spans="8:13" ht="39">
      <c r="H83" s="210" t="s">
        <v>18</v>
      </c>
      <c r="I83" s="211">
        <f>I84/M84</f>
        <v>0</v>
      </c>
      <c r="J83" s="212">
        <f>J84/M84</f>
        <v>0.2</v>
      </c>
      <c r="K83" s="212">
        <f>K84/M84</f>
        <v>0.8</v>
      </c>
      <c r="L83" s="212"/>
      <c r="M83" s="213">
        <f>I83+J83+K83+L83</f>
        <v>1</v>
      </c>
    </row>
    <row r="84" spans="8:13">
      <c r="I84" s="208">
        <f>B25</f>
        <v>0</v>
      </c>
      <c r="J84" s="208">
        <f>C25</f>
        <v>1</v>
      </c>
      <c r="K84" s="208">
        <f>D25+E25</f>
        <v>4</v>
      </c>
      <c r="L84" s="209"/>
      <c r="M84" s="209">
        <f>J84+K84+L84+I84</f>
        <v>5</v>
      </c>
    </row>
  </sheetData>
  <mergeCells count="16">
    <mergeCell ref="A1:D1"/>
    <mergeCell ref="B17:B20"/>
    <mergeCell ref="C17:C20"/>
    <mergeCell ref="D17:D20"/>
    <mergeCell ref="E17:E20"/>
    <mergeCell ref="F17:F20"/>
    <mergeCell ref="B26:B29"/>
    <mergeCell ref="C26:C29"/>
    <mergeCell ref="D26:D29"/>
    <mergeCell ref="E26:E29"/>
    <mergeCell ref="F26:F29"/>
    <mergeCell ref="B33:B36"/>
    <mergeCell ref="C33:C36"/>
    <mergeCell ref="D33:D36"/>
    <mergeCell ref="E33:E36"/>
    <mergeCell ref="F33:F36"/>
  </mergeCells>
  <pageMargins left="0.7" right="0.7" top="0.75" bottom="0.75" header="0.3" footer="0.3"/>
  <pageSetup paperSize="9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0FD36-D430-1B49-98F6-AB0F0150F6E2}">
  <dimension ref="A1:N84"/>
  <sheetViews>
    <sheetView zoomScaleNormal="75" workbookViewId="0">
      <selection activeCell="G9" sqref="G9"/>
    </sheetView>
  </sheetViews>
  <sheetFormatPr baseColWidth="10" defaultRowHeight="16"/>
  <cols>
    <col min="1" max="1" width="51.6640625" customWidth="1"/>
    <col min="2" max="5" width="13.83203125" customWidth="1"/>
    <col min="6" max="6" width="15.33203125" customWidth="1"/>
    <col min="7" max="7" width="18" customWidth="1"/>
    <col min="8" max="8" width="11.1640625" customWidth="1"/>
    <col min="9" max="11" width="18" customWidth="1"/>
    <col min="12" max="12" width="17" customWidth="1"/>
    <col min="13" max="13" width="15" customWidth="1"/>
  </cols>
  <sheetData>
    <row r="1" spans="1:14" ht="24">
      <c r="A1" s="235" t="s">
        <v>83</v>
      </c>
      <c r="B1" s="235"/>
      <c r="C1" s="235"/>
      <c r="D1" s="235"/>
    </row>
    <row r="2" spans="1:14" ht="45" customHeight="1">
      <c r="A2" s="24" t="s">
        <v>30</v>
      </c>
      <c r="B2" s="24" t="s">
        <v>51</v>
      </c>
      <c r="C2" s="24" t="s">
        <v>6</v>
      </c>
      <c r="D2" s="24" t="s">
        <v>7</v>
      </c>
      <c r="E2" s="24" t="s">
        <v>27</v>
      </c>
      <c r="F2" s="96" t="s">
        <v>66</v>
      </c>
      <c r="G2" s="1"/>
      <c r="H2" s="1"/>
      <c r="I2" s="1"/>
    </row>
    <row r="3" spans="1:14" ht="30" customHeight="1">
      <c r="A3" s="114" t="s">
        <v>65</v>
      </c>
      <c r="B3" s="21" t="s">
        <v>57</v>
      </c>
      <c r="C3" s="21">
        <v>10</v>
      </c>
      <c r="D3" s="21">
        <v>10</v>
      </c>
      <c r="E3" s="22" t="s">
        <v>28</v>
      </c>
      <c r="F3" s="97">
        <v>1</v>
      </c>
      <c r="G3" s="1"/>
      <c r="H3" s="1"/>
      <c r="I3" s="211" t="s">
        <v>121</v>
      </c>
      <c r="J3" s="21" t="s">
        <v>43</v>
      </c>
      <c r="K3" s="21" t="s">
        <v>42</v>
      </c>
      <c r="L3" s="214" t="s">
        <v>118</v>
      </c>
      <c r="M3" s="215"/>
      <c r="N3" s="215"/>
    </row>
    <row r="4" spans="1:14" ht="35" customHeight="1">
      <c r="A4" s="115" t="s">
        <v>86</v>
      </c>
      <c r="B4" s="21" t="s">
        <v>57</v>
      </c>
      <c r="C4" s="30">
        <v>10</v>
      </c>
      <c r="D4" s="21">
        <v>10</v>
      </c>
      <c r="E4" s="22" t="s">
        <v>28</v>
      </c>
      <c r="F4" s="97">
        <v>1</v>
      </c>
      <c r="G4" s="1"/>
      <c r="H4" s="1"/>
      <c r="I4" s="210" t="s">
        <v>15</v>
      </c>
      <c r="J4" s="216">
        <f>J5/N5</f>
        <v>2.0408163265306121E-2</v>
      </c>
      <c r="K4" s="216">
        <f>K5/N5</f>
        <v>0</v>
      </c>
      <c r="L4" s="212">
        <f>L5/N5</f>
        <v>0.97959183673469385</v>
      </c>
      <c r="M4" s="212"/>
      <c r="N4" s="213">
        <f>J4+K4+L4+M4</f>
        <v>1</v>
      </c>
    </row>
    <row r="5" spans="1:14" ht="30" customHeight="1">
      <c r="A5" s="115" t="s">
        <v>87</v>
      </c>
      <c r="B5" s="21" t="s">
        <v>57</v>
      </c>
      <c r="C5" s="30">
        <v>10</v>
      </c>
      <c r="D5" s="21">
        <v>9</v>
      </c>
      <c r="E5" s="22" t="s">
        <v>28</v>
      </c>
      <c r="F5" s="97">
        <v>1</v>
      </c>
      <c r="G5" s="1"/>
      <c r="H5" s="1"/>
      <c r="J5" s="208">
        <f>B22</f>
        <v>1</v>
      </c>
      <c r="K5" s="208">
        <f>C22</f>
        <v>0</v>
      </c>
      <c r="L5" s="208">
        <f>D22+E22</f>
        <v>48</v>
      </c>
      <c r="M5" s="209"/>
      <c r="N5" s="209">
        <f>K5+L5+M5+J5</f>
        <v>49</v>
      </c>
    </row>
    <row r="6" spans="1:14" ht="30" customHeight="1">
      <c r="A6" s="35" t="s">
        <v>132</v>
      </c>
      <c r="B6" s="21" t="s">
        <v>57</v>
      </c>
      <c r="C6" s="22">
        <v>5</v>
      </c>
      <c r="D6" s="22">
        <v>5</v>
      </c>
      <c r="E6" s="22" t="s">
        <v>28</v>
      </c>
      <c r="F6" s="97">
        <v>1</v>
      </c>
      <c r="G6" s="1"/>
      <c r="H6" s="1"/>
    </row>
    <row r="7" spans="1:14" ht="30" customHeight="1">
      <c r="A7" s="36" t="s">
        <v>133</v>
      </c>
      <c r="B7" s="31" t="s">
        <v>128</v>
      </c>
      <c r="C7" s="23">
        <v>11</v>
      </c>
      <c r="D7" s="23">
        <v>10</v>
      </c>
      <c r="E7" s="22" t="s">
        <v>28</v>
      </c>
      <c r="F7" s="97">
        <v>1</v>
      </c>
      <c r="G7" s="1"/>
      <c r="H7" s="1"/>
      <c r="I7" s="206"/>
      <c r="J7" s="197"/>
      <c r="K7" s="197"/>
      <c r="L7" s="197"/>
      <c r="M7" s="197"/>
    </row>
    <row r="8" spans="1:14" ht="30" customHeight="1">
      <c r="A8" s="36" t="s">
        <v>165</v>
      </c>
      <c r="B8" s="31" t="s">
        <v>128</v>
      </c>
      <c r="C8" s="23">
        <v>5</v>
      </c>
      <c r="D8" s="23">
        <v>5</v>
      </c>
      <c r="E8" s="22" t="s">
        <v>28</v>
      </c>
      <c r="F8" s="97">
        <v>1</v>
      </c>
      <c r="G8" s="1"/>
      <c r="H8" s="1"/>
      <c r="I8" s="206"/>
      <c r="J8" s="197"/>
      <c r="K8" s="197"/>
      <c r="L8" s="197"/>
      <c r="M8" s="197"/>
      <c r="N8" s="197"/>
    </row>
    <row r="9" spans="1:14" ht="30" customHeight="1">
      <c r="A9" s="117" t="s">
        <v>29</v>
      </c>
      <c r="B9" s="118"/>
      <c r="C9" s="119">
        <f>C3+C4+C5+C6+C7+C8</f>
        <v>51</v>
      </c>
      <c r="D9" s="119">
        <f>D3+D5+D4+D6+D7+D8</f>
        <v>49</v>
      </c>
      <c r="E9" s="119"/>
      <c r="F9" s="119">
        <f>F3+F5+F4+F6+F7+F8</f>
        <v>6</v>
      </c>
      <c r="G9" s="1" t="s">
        <v>173</v>
      </c>
      <c r="H9" s="1"/>
    </row>
    <row r="10" spans="1:14" ht="30" customHeight="1" thickBot="1">
      <c r="A10" s="1"/>
      <c r="B10" s="1"/>
      <c r="C10" s="1"/>
      <c r="D10" s="1"/>
      <c r="E10" s="1"/>
      <c r="F10" s="1"/>
      <c r="G10" s="1"/>
      <c r="H10" s="1"/>
    </row>
    <row r="11" spans="1:14" ht="30" customHeight="1" thickBot="1">
      <c r="A11" s="2"/>
      <c r="B11" s="3">
        <v>0</v>
      </c>
      <c r="C11" s="4">
        <v>1</v>
      </c>
      <c r="D11" s="5">
        <v>2</v>
      </c>
      <c r="E11" s="6">
        <v>3</v>
      </c>
      <c r="F11" s="18" t="s">
        <v>29</v>
      </c>
      <c r="G11" s="1"/>
      <c r="H11" s="1"/>
    </row>
    <row r="12" spans="1:14" ht="22" customHeight="1" thickBot="1">
      <c r="A12" s="7" t="s">
        <v>8</v>
      </c>
      <c r="B12" s="28"/>
      <c r="C12" s="28"/>
      <c r="D12" s="28"/>
      <c r="E12" s="28"/>
      <c r="F12" s="20">
        <f t="shared" ref="F12:F42" si="0">B12+C12+D12+E12</f>
        <v>0</v>
      </c>
      <c r="G12" s="1"/>
      <c r="H12" s="1"/>
    </row>
    <row r="13" spans="1:14" ht="22" customHeight="1" thickBot="1">
      <c r="A13" s="7" t="s">
        <v>76</v>
      </c>
      <c r="B13" s="28"/>
      <c r="C13" s="28">
        <f>7+2</f>
        <v>9</v>
      </c>
      <c r="D13" s="28">
        <f>2+4+5+3+3</f>
        <v>17</v>
      </c>
      <c r="E13" s="28">
        <f>1+4+4+5+7+2</f>
        <v>23</v>
      </c>
      <c r="F13" s="20">
        <f t="shared" si="0"/>
        <v>49</v>
      </c>
      <c r="G13" s="1"/>
      <c r="H13" s="1"/>
    </row>
    <row r="14" spans="1:14" ht="22" customHeight="1" thickBot="1">
      <c r="A14" s="8" t="s">
        <v>9</v>
      </c>
      <c r="B14" s="29"/>
      <c r="C14" s="29"/>
      <c r="D14" s="29">
        <f>3+7+4+1+1</f>
        <v>16</v>
      </c>
      <c r="E14" s="29">
        <f>7+3+5+5+9+4</f>
        <v>33</v>
      </c>
      <c r="F14" s="20">
        <f t="shared" si="0"/>
        <v>49</v>
      </c>
      <c r="G14" s="1"/>
      <c r="H14" s="1"/>
    </row>
    <row r="15" spans="1:14" ht="22" customHeight="1" thickBot="1">
      <c r="A15" s="9" t="s">
        <v>10</v>
      </c>
      <c r="B15" s="25"/>
      <c r="C15" s="25">
        <f>2</f>
        <v>2</v>
      </c>
      <c r="D15" s="25">
        <f>1+5+2+1</f>
        <v>9</v>
      </c>
      <c r="E15" s="25">
        <f>9+3+7+5+10+4</f>
        <v>38</v>
      </c>
      <c r="F15" s="20">
        <f t="shared" si="0"/>
        <v>49</v>
      </c>
      <c r="G15" s="1"/>
      <c r="H15" s="1"/>
    </row>
    <row r="16" spans="1:14" ht="22" customHeight="1" thickBot="1">
      <c r="A16" s="10" t="s">
        <v>11</v>
      </c>
      <c r="B16" s="27"/>
      <c r="C16" s="27"/>
      <c r="D16" s="27">
        <f>5+2+1+2</f>
        <v>10</v>
      </c>
      <c r="E16" s="27">
        <f>10+5+7+4+10+3</f>
        <v>39</v>
      </c>
      <c r="F16" s="20">
        <f t="shared" si="0"/>
        <v>49</v>
      </c>
    </row>
    <row r="17" spans="1:14" ht="10" customHeight="1">
      <c r="A17" s="14"/>
      <c r="B17" s="231"/>
      <c r="C17" s="231"/>
      <c r="D17" s="231"/>
      <c r="E17" s="231"/>
      <c r="F17" s="231"/>
    </row>
    <row r="18" spans="1:14" ht="4" customHeight="1">
      <c r="A18" s="14"/>
      <c r="B18" s="232"/>
      <c r="C18" s="232"/>
      <c r="D18" s="232"/>
      <c r="E18" s="232"/>
      <c r="F18" s="232"/>
    </row>
    <row r="19" spans="1:14" ht="16" customHeight="1">
      <c r="A19" s="15" t="s">
        <v>12</v>
      </c>
      <c r="B19" s="232"/>
      <c r="C19" s="232"/>
      <c r="D19" s="232"/>
      <c r="E19" s="232"/>
      <c r="F19" s="232"/>
    </row>
    <row r="20" spans="1:14" ht="11" customHeight="1" thickBot="1">
      <c r="A20" s="16" t="s">
        <v>13</v>
      </c>
      <c r="B20" s="233"/>
      <c r="C20" s="233"/>
      <c r="D20" s="233"/>
      <c r="E20" s="233"/>
      <c r="F20" s="233"/>
    </row>
    <row r="21" spans="1:14" ht="22" customHeight="1" thickBot="1">
      <c r="A21" s="10" t="s">
        <v>14</v>
      </c>
      <c r="B21" s="27"/>
      <c r="C21" s="27"/>
      <c r="D21" s="27">
        <f>3+4+2+1+2</f>
        <v>12</v>
      </c>
      <c r="E21" s="27">
        <f>10+7+5+3+9+3</f>
        <v>37</v>
      </c>
      <c r="F21" s="20">
        <f t="shared" si="0"/>
        <v>49</v>
      </c>
    </row>
    <row r="22" spans="1:14" ht="22" customHeight="1" thickBot="1">
      <c r="A22" s="9" t="s">
        <v>15</v>
      </c>
      <c r="B22" s="25">
        <v>1</v>
      </c>
      <c r="C22" s="25"/>
      <c r="D22" s="25">
        <f>5+6+3+2+1+1</f>
        <v>18</v>
      </c>
      <c r="E22" s="25">
        <f>5+4+5+3+9+4</f>
        <v>30</v>
      </c>
      <c r="F22" s="20">
        <f t="shared" si="0"/>
        <v>49</v>
      </c>
    </row>
    <row r="23" spans="1:14" ht="22" customHeight="1" thickBot="1">
      <c r="A23" s="10" t="s">
        <v>16</v>
      </c>
      <c r="B23" s="27">
        <v>1</v>
      </c>
      <c r="C23" s="27">
        <f>1</f>
        <v>1</v>
      </c>
      <c r="D23" s="27">
        <f>6+6+4+3+1+1</f>
        <v>21</v>
      </c>
      <c r="E23" s="27">
        <f>4+3+4+2+9+4</f>
        <v>26</v>
      </c>
      <c r="F23" s="20">
        <f t="shared" si="0"/>
        <v>49</v>
      </c>
    </row>
    <row r="24" spans="1:14" ht="22" customHeight="1" thickBot="1">
      <c r="A24" s="9" t="s">
        <v>17</v>
      </c>
      <c r="B24" s="25"/>
      <c r="C24" s="25">
        <f>1+1</f>
        <v>2</v>
      </c>
      <c r="D24" s="25">
        <f>5+4+2+3+3+2</f>
        <v>19</v>
      </c>
      <c r="E24" s="25">
        <f>5+4+7+2+7+3</f>
        <v>28</v>
      </c>
      <c r="F24" s="20">
        <f t="shared" si="0"/>
        <v>49</v>
      </c>
      <c r="I24" s="211" t="s">
        <v>121</v>
      </c>
      <c r="J24" s="21" t="s">
        <v>43</v>
      </c>
      <c r="K24" s="21" t="s">
        <v>42</v>
      </c>
      <c r="L24" s="214" t="s">
        <v>118</v>
      </c>
      <c r="M24" s="215"/>
      <c r="N24" s="215"/>
    </row>
    <row r="25" spans="1:14" ht="22" customHeight="1" thickBot="1">
      <c r="A25" s="9" t="s">
        <v>18</v>
      </c>
      <c r="B25" s="25">
        <f>1</f>
        <v>1</v>
      </c>
      <c r="C25" s="25">
        <f>1+2+1</f>
        <v>4</v>
      </c>
      <c r="D25" s="25">
        <f>5+5+3+2+1+2</f>
        <v>18</v>
      </c>
      <c r="E25" s="25">
        <f>4+3+5+2+9+3</f>
        <v>26</v>
      </c>
      <c r="F25" s="20">
        <f t="shared" si="0"/>
        <v>49</v>
      </c>
      <c r="I25" s="210" t="s">
        <v>16</v>
      </c>
      <c r="J25" s="211">
        <f>J26/N26</f>
        <v>2.0408163265306121E-2</v>
      </c>
      <c r="K25" s="212">
        <f>K26/N26</f>
        <v>2.0408163265306121E-2</v>
      </c>
      <c r="L25" s="212">
        <f>L26/N26</f>
        <v>0.95918367346938771</v>
      </c>
      <c r="M25" s="212"/>
      <c r="N25" s="213">
        <f>J25+K25+L25+M25</f>
        <v>1</v>
      </c>
    </row>
    <row r="26" spans="1:14" ht="24" customHeight="1">
      <c r="A26" s="14"/>
      <c r="B26" s="234"/>
      <c r="C26" s="234"/>
      <c r="D26" s="234"/>
      <c r="E26" s="234"/>
      <c r="F26" s="234"/>
      <c r="J26" s="208">
        <f>B23</f>
        <v>1</v>
      </c>
      <c r="K26" s="208">
        <f>C23</f>
        <v>1</v>
      </c>
      <c r="L26" s="208">
        <f>D23+E23</f>
        <v>47</v>
      </c>
      <c r="M26" s="209"/>
      <c r="N26" s="209">
        <f>K26+L26+M26+J26</f>
        <v>49</v>
      </c>
    </row>
    <row r="27" spans="1:14" ht="5" customHeight="1">
      <c r="A27" s="14"/>
      <c r="B27" s="232"/>
      <c r="C27" s="232"/>
      <c r="D27" s="232"/>
      <c r="E27" s="232"/>
      <c r="F27" s="232"/>
      <c r="I27" s="206"/>
    </row>
    <row r="28" spans="1:14" ht="21" customHeight="1">
      <c r="A28" s="15" t="s">
        <v>19</v>
      </c>
      <c r="B28" s="232"/>
      <c r="C28" s="232"/>
      <c r="D28" s="232"/>
      <c r="E28" s="232"/>
      <c r="F28" s="232"/>
      <c r="I28" s="206"/>
    </row>
    <row r="29" spans="1:14" ht="10" customHeight="1" thickBot="1">
      <c r="A29" s="16" t="s">
        <v>20</v>
      </c>
      <c r="B29" s="233"/>
      <c r="C29" s="233"/>
      <c r="D29" s="233"/>
      <c r="E29" s="233"/>
      <c r="F29" s="233"/>
    </row>
    <row r="30" spans="1:14" ht="23" customHeight="1" thickBot="1">
      <c r="A30" s="9" t="s">
        <v>21</v>
      </c>
      <c r="B30" s="25"/>
      <c r="C30" s="25"/>
      <c r="D30" s="25">
        <f>4+1</f>
        <v>5</v>
      </c>
      <c r="E30" s="25">
        <f>10+6+8+5+10+5</f>
        <v>44</v>
      </c>
      <c r="F30" s="20">
        <f t="shared" si="0"/>
        <v>49</v>
      </c>
    </row>
    <row r="31" spans="1:14" ht="23" customHeight="1" thickBot="1">
      <c r="A31" s="11" t="s">
        <v>22</v>
      </c>
      <c r="B31" s="25"/>
      <c r="C31" s="25"/>
      <c r="D31" s="25">
        <f>1+1</f>
        <v>2</v>
      </c>
      <c r="E31" s="25">
        <f>10+9+8+5+10+5</f>
        <v>47</v>
      </c>
      <c r="F31" s="19">
        <f t="shared" si="0"/>
        <v>49</v>
      </c>
    </row>
    <row r="32" spans="1:14" ht="23" customHeight="1" thickBot="1">
      <c r="A32" s="12" t="s">
        <v>23</v>
      </c>
      <c r="B32" s="26"/>
      <c r="C32" s="26"/>
      <c r="D32" s="26">
        <f>5+2+1</f>
        <v>8</v>
      </c>
      <c r="E32" s="25">
        <f>10+5+7+5+9+5</f>
        <v>41</v>
      </c>
      <c r="F32" s="20">
        <f t="shared" si="0"/>
        <v>49</v>
      </c>
    </row>
    <row r="33" spans="1:6" ht="9" customHeight="1">
      <c r="A33" s="13"/>
      <c r="B33" s="231"/>
      <c r="C33" s="231"/>
      <c r="D33" s="231"/>
      <c r="E33" s="231"/>
      <c r="F33" s="234"/>
    </row>
    <row r="34" spans="1:6" ht="4" customHeight="1">
      <c r="A34" s="14"/>
      <c r="B34" s="232"/>
      <c r="C34" s="232"/>
      <c r="D34" s="232"/>
      <c r="E34" s="232"/>
      <c r="F34" s="232"/>
    </row>
    <row r="35" spans="1:6" ht="21" customHeight="1">
      <c r="A35" s="15" t="s">
        <v>24</v>
      </c>
      <c r="B35" s="232"/>
      <c r="C35" s="232"/>
      <c r="D35" s="232"/>
      <c r="E35" s="232"/>
      <c r="F35" s="232"/>
    </row>
    <row r="36" spans="1:6" ht="9" customHeight="1" thickBot="1">
      <c r="A36" s="16" t="s">
        <v>20</v>
      </c>
      <c r="B36" s="233"/>
      <c r="C36" s="233"/>
      <c r="D36" s="233"/>
      <c r="E36" s="233"/>
      <c r="F36" s="233"/>
    </row>
    <row r="37" spans="1:6" ht="23" customHeight="1" thickBot="1">
      <c r="A37" s="9" t="s">
        <v>25</v>
      </c>
      <c r="B37" s="25"/>
      <c r="C37" s="25"/>
      <c r="D37" s="25">
        <f>4+1+1</f>
        <v>6</v>
      </c>
      <c r="E37" s="25">
        <f>10+6+9+5+9+4</f>
        <v>43</v>
      </c>
      <c r="F37" s="19">
        <f t="shared" si="0"/>
        <v>49</v>
      </c>
    </row>
    <row r="38" spans="1:6" ht="23" customHeight="1" thickBot="1">
      <c r="A38" s="11" t="s">
        <v>59</v>
      </c>
      <c r="B38" s="25"/>
      <c r="C38" s="25"/>
      <c r="D38" s="25">
        <f>1</f>
        <v>1</v>
      </c>
      <c r="E38" s="25">
        <f>9+5</f>
        <v>14</v>
      </c>
      <c r="F38" s="20">
        <f t="shared" si="0"/>
        <v>15</v>
      </c>
    </row>
    <row r="39" spans="1:6" ht="23" customHeight="1" thickBot="1">
      <c r="A39" s="11" t="s">
        <v>62</v>
      </c>
      <c r="B39" s="25">
        <f>4</f>
        <v>4</v>
      </c>
      <c r="C39" s="25">
        <f>4+2+1</f>
        <v>7</v>
      </c>
      <c r="D39" s="25">
        <f>2+4+3</f>
        <v>9</v>
      </c>
      <c r="E39" s="25">
        <f>10+3+1</f>
        <v>14</v>
      </c>
      <c r="F39" s="19">
        <f>B39+C39+D39+E39</f>
        <v>34</v>
      </c>
    </row>
    <row r="40" spans="1:6" ht="23" customHeight="1" thickBot="1">
      <c r="A40" s="11" t="s">
        <v>60</v>
      </c>
      <c r="B40" s="25"/>
      <c r="C40" s="25"/>
      <c r="D40" s="25">
        <f>1</f>
        <v>1</v>
      </c>
      <c r="E40" s="25">
        <f>9+5</f>
        <v>14</v>
      </c>
      <c r="F40" s="20">
        <f t="shared" si="0"/>
        <v>15</v>
      </c>
    </row>
    <row r="41" spans="1:6" ht="23" customHeight="1" thickBot="1">
      <c r="A41" s="11" t="s">
        <v>61</v>
      </c>
      <c r="B41" s="25">
        <f>1+1</f>
        <v>2</v>
      </c>
      <c r="C41" s="25">
        <f>4+1+2</f>
        <v>7</v>
      </c>
      <c r="D41" s="25">
        <f>4+3+2</f>
        <v>9</v>
      </c>
      <c r="E41" s="25">
        <f>10+1+5</f>
        <v>16</v>
      </c>
      <c r="F41" s="19">
        <f t="shared" si="0"/>
        <v>34</v>
      </c>
    </row>
    <row r="42" spans="1:6" ht="23" customHeight="1" thickBot="1">
      <c r="A42" s="9" t="s">
        <v>26</v>
      </c>
      <c r="B42" s="25"/>
      <c r="C42" s="25">
        <f>1</f>
        <v>1</v>
      </c>
      <c r="D42" s="25">
        <f>3+4+1</f>
        <v>8</v>
      </c>
      <c r="E42" s="25">
        <f>10+6+5+4+10+5</f>
        <v>40</v>
      </c>
      <c r="F42" s="20">
        <f t="shared" si="0"/>
        <v>49</v>
      </c>
    </row>
    <row r="43" spans="1:6">
      <c r="F43" s="17"/>
    </row>
    <row r="44" spans="1:6" ht="9" customHeight="1"/>
    <row r="50" spans="9:14" ht="17">
      <c r="I50" s="211" t="s">
        <v>121</v>
      </c>
      <c r="J50" s="21" t="s">
        <v>43</v>
      </c>
      <c r="K50" s="21" t="s">
        <v>42</v>
      </c>
      <c r="L50" s="214" t="s">
        <v>118</v>
      </c>
      <c r="M50" s="215"/>
      <c r="N50" s="215"/>
    </row>
    <row r="51" spans="9:14" ht="26">
      <c r="I51" s="210" t="s">
        <v>26</v>
      </c>
      <c r="J51" s="216">
        <f>J52/N52</f>
        <v>0</v>
      </c>
      <c r="K51" s="212">
        <f>K52/N52</f>
        <v>2.0408163265306121E-2</v>
      </c>
      <c r="L51" s="212">
        <f>L52/N52</f>
        <v>0.97959183673469385</v>
      </c>
      <c r="M51" s="212"/>
      <c r="N51" s="213">
        <f>J51+K51+L51+M51</f>
        <v>1</v>
      </c>
    </row>
    <row r="52" spans="9:14">
      <c r="J52" s="208">
        <f>B42</f>
        <v>0</v>
      </c>
      <c r="K52" s="208">
        <f>C42</f>
        <v>1</v>
      </c>
      <c r="L52" s="208">
        <f>D42+E42</f>
        <v>48</v>
      </c>
      <c r="M52" s="208"/>
      <c r="N52" s="209">
        <f>K52+L52+M52+J52</f>
        <v>49</v>
      </c>
    </row>
    <row r="56" spans="9:14">
      <c r="J56" s="81"/>
      <c r="K56" s="81"/>
      <c r="L56" s="80"/>
      <c r="M56" s="81"/>
    </row>
    <row r="57" spans="9:14">
      <c r="I57" s="207"/>
      <c r="J57" s="197"/>
      <c r="K57" s="197"/>
      <c r="L57" s="197"/>
      <c r="M57" s="197"/>
      <c r="N57" s="197"/>
    </row>
    <row r="58" spans="9:14">
      <c r="I58" s="206"/>
    </row>
    <row r="82" spans="9:14" ht="17">
      <c r="I82" s="211" t="s">
        <v>121</v>
      </c>
      <c r="J82" s="21" t="s">
        <v>43</v>
      </c>
      <c r="K82" s="21" t="s">
        <v>42</v>
      </c>
      <c r="L82" s="214" t="s">
        <v>118</v>
      </c>
      <c r="M82" s="215"/>
      <c r="N82" s="215"/>
    </row>
    <row r="83" spans="9:14" ht="39">
      <c r="I83" s="210" t="s">
        <v>18</v>
      </c>
      <c r="J83" s="216">
        <f>J84/N84</f>
        <v>2.0408163265306121E-2</v>
      </c>
      <c r="K83" s="212">
        <f>K84/N84</f>
        <v>8.1632653061224483E-2</v>
      </c>
      <c r="L83" s="212">
        <f>L84/N84</f>
        <v>0.89795918367346939</v>
      </c>
      <c r="M83" s="212"/>
      <c r="N83" s="213">
        <f>J83+K83+L83+M83</f>
        <v>1</v>
      </c>
    </row>
    <row r="84" spans="9:14">
      <c r="J84" s="208">
        <f>B25</f>
        <v>1</v>
      </c>
      <c r="K84" s="208">
        <f>C25</f>
        <v>4</v>
      </c>
      <c r="L84" s="208">
        <f>D25+E25</f>
        <v>44</v>
      </c>
      <c r="M84" s="209"/>
      <c r="N84" s="209">
        <f>K84+L84+M84+J84</f>
        <v>49</v>
      </c>
    </row>
  </sheetData>
  <mergeCells count="16">
    <mergeCell ref="B26:B29"/>
    <mergeCell ref="C26:C29"/>
    <mergeCell ref="D26:D29"/>
    <mergeCell ref="E26:E29"/>
    <mergeCell ref="F26:F29"/>
    <mergeCell ref="B33:B36"/>
    <mergeCell ref="C33:C36"/>
    <mergeCell ref="D33:D36"/>
    <mergeCell ref="E33:E36"/>
    <mergeCell ref="F33:F36"/>
    <mergeCell ref="F17:F20"/>
    <mergeCell ref="A1:D1"/>
    <mergeCell ref="B17:B20"/>
    <mergeCell ref="C17:C20"/>
    <mergeCell ref="D17:D20"/>
    <mergeCell ref="E17:E20"/>
  </mergeCells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195F0-3852-A94F-9735-9D00744170A9}">
  <dimension ref="A1:H44"/>
  <sheetViews>
    <sheetView zoomScale="107" zoomScaleNormal="75" workbookViewId="0">
      <selection activeCell="A13" sqref="A13"/>
    </sheetView>
  </sheetViews>
  <sheetFormatPr baseColWidth="10" defaultRowHeight="16"/>
  <cols>
    <col min="1" max="1" width="45.6640625" customWidth="1"/>
    <col min="2" max="5" width="13.83203125" customWidth="1"/>
    <col min="6" max="6" width="15.33203125" customWidth="1"/>
    <col min="7" max="7" width="38.83203125" customWidth="1"/>
    <col min="8" max="8" width="39.83203125" customWidth="1"/>
    <col min="9" max="9" width="36.33203125" customWidth="1"/>
    <col min="10" max="10" width="39.5" customWidth="1"/>
    <col min="11" max="11" width="48.6640625" customWidth="1"/>
    <col min="12" max="12" width="32.6640625" customWidth="1"/>
  </cols>
  <sheetData>
    <row r="1" spans="1:8" ht="24">
      <c r="A1" s="235" t="s">
        <v>64</v>
      </c>
      <c r="B1" s="235"/>
      <c r="C1" s="235"/>
      <c r="D1" s="235"/>
    </row>
    <row r="2" spans="1:8" ht="45" customHeight="1">
      <c r="A2" s="24" t="s">
        <v>30</v>
      </c>
      <c r="B2" s="24" t="s">
        <v>51</v>
      </c>
      <c r="C2" s="24" t="s">
        <v>6</v>
      </c>
      <c r="D2" s="24" t="s">
        <v>7</v>
      </c>
      <c r="E2" s="24" t="s">
        <v>27</v>
      </c>
      <c r="F2" s="96" t="s">
        <v>66</v>
      </c>
      <c r="G2" s="1"/>
      <c r="H2" s="1"/>
    </row>
    <row r="3" spans="1:8" ht="30" customHeight="1">
      <c r="A3" s="34"/>
      <c r="B3" s="30"/>
      <c r="C3" s="21"/>
      <c r="D3" s="21"/>
      <c r="E3" s="22"/>
      <c r="F3" s="97"/>
      <c r="G3" s="1"/>
      <c r="H3" s="1"/>
    </row>
    <row r="4" spans="1:8" ht="30" customHeight="1">
      <c r="A4" s="34"/>
      <c r="B4" s="21"/>
      <c r="C4" s="21"/>
      <c r="D4" s="21"/>
      <c r="E4" s="21"/>
      <c r="F4" s="98"/>
      <c r="G4" s="1"/>
      <c r="H4" s="1"/>
    </row>
    <row r="5" spans="1:8" ht="30" customHeight="1">
      <c r="A5" s="34"/>
      <c r="B5" s="21"/>
      <c r="C5" s="21"/>
      <c r="D5" s="21"/>
      <c r="E5" s="21"/>
      <c r="F5" s="98"/>
      <c r="G5" s="1"/>
      <c r="H5" s="1"/>
    </row>
    <row r="6" spans="1:8" ht="30" customHeight="1">
      <c r="A6" s="35"/>
      <c r="B6" s="22"/>
      <c r="C6" s="22"/>
      <c r="D6" s="22"/>
      <c r="E6" s="22"/>
      <c r="F6" s="98"/>
      <c r="G6" s="1"/>
      <c r="H6" s="1"/>
    </row>
    <row r="7" spans="1:8" ht="30" customHeight="1">
      <c r="A7" s="36"/>
      <c r="B7" s="23"/>
      <c r="C7" s="23"/>
      <c r="D7" s="23"/>
      <c r="E7" s="23"/>
      <c r="F7" s="98"/>
      <c r="G7" s="1"/>
      <c r="H7" s="1"/>
    </row>
    <row r="8" spans="1:8" ht="30" customHeight="1">
      <c r="A8" s="36"/>
      <c r="B8" s="23"/>
      <c r="C8" s="23"/>
      <c r="D8" s="23"/>
      <c r="E8" s="23"/>
      <c r="F8" s="98"/>
      <c r="G8" s="1"/>
      <c r="H8" s="1"/>
    </row>
    <row r="9" spans="1:8" ht="30" customHeight="1">
      <c r="A9" s="126" t="s">
        <v>29</v>
      </c>
      <c r="B9" s="127"/>
      <c r="C9" s="128"/>
      <c r="D9" s="128"/>
      <c r="E9" s="128"/>
      <c r="F9" s="128"/>
      <c r="G9" s="1"/>
      <c r="H9" s="1"/>
    </row>
    <row r="10" spans="1:8" ht="30" customHeight="1" thickBot="1">
      <c r="A10" s="1"/>
      <c r="B10" s="1"/>
      <c r="C10" s="1"/>
      <c r="D10" s="1"/>
      <c r="E10" s="1"/>
      <c r="F10" s="1"/>
      <c r="G10" s="1"/>
      <c r="H10" s="1"/>
    </row>
    <row r="11" spans="1:8" ht="30" customHeight="1" thickBot="1">
      <c r="A11" s="2"/>
      <c r="B11" s="3">
        <v>0</v>
      </c>
      <c r="C11" s="4">
        <v>1</v>
      </c>
      <c r="D11" s="5">
        <v>2</v>
      </c>
      <c r="E11" s="6">
        <v>3</v>
      </c>
      <c r="F11" s="18" t="s">
        <v>29</v>
      </c>
      <c r="G11" s="1"/>
    </row>
    <row r="12" spans="1:8" ht="22" customHeight="1" thickBot="1">
      <c r="A12" s="7" t="s">
        <v>101</v>
      </c>
      <c r="B12" s="28"/>
      <c r="C12" s="28"/>
      <c r="D12" s="28"/>
      <c r="E12" s="28"/>
      <c r="F12" s="20">
        <f t="shared" ref="F12:F42" si="0">B12+C12+D12+E12</f>
        <v>0</v>
      </c>
      <c r="G12" s="1"/>
      <c r="H12" s="1"/>
    </row>
    <row r="13" spans="1:8" ht="22" customHeight="1" thickBot="1">
      <c r="A13" s="7" t="s">
        <v>76</v>
      </c>
      <c r="B13" s="28"/>
      <c r="C13" s="28"/>
      <c r="D13" s="28"/>
      <c r="E13" s="28"/>
      <c r="F13" s="20"/>
      <c r="G13" s="1"/>
      <c r="H13" s="1"/>
    </row>
    <row r="14" spans="1:8" ht="22" customHeight="1" thickBot="1">
      <c r="A14" s="8" t="s">
        <v>9</v>
      </c>
      <c r="B14" s="29"/>
      <c r="C14" s="29"/>
      <c r="D14" s="29"/>
      <c r="E14" s="29"/>
      <c r="F14" s="20">
        <f t="shared" si="0"/>
        <v>0</v>
      </c>
      <c r="G14" s="1"/>
      <c r="H14" s="1"/>
    </row>
    <row r="15" spans="1:8" ht="22" customHeight="1" thickBot="1">
      <c r="A15" s="9" t="s">
        <v>10</v>
      </c>
      <c r="B15" s="25"/>
      <c r="C15" s="25"/>
      <c r="D15" s="25"/>
      <c r="E15" s="25"/>
      <c r="F15" s="20">
        <f t="shared" si="0"/>
        <v>0</v>
      </c>
      <c r="G15" s="1"/>
      <c r="H15" s="1"/>
    </row>
    <row r="16" spans="1:8" ht="22" customHeight="1" thickBot="1">
      <c r="A16" s="10" t="s">
        <v>11</v>
      </c>
      <c r="B16" s="27"/>
      <c r="C16" s="27"/>
      <c r="D16" s="27"/>
      <c r="E16" s="27"/>
      <c r="F16" s="20">
        <f t="shared" si="0"/>
        <v>0</v>
      </c>
    </row>
    <row r="17" spans="1:6" ht="10" customHeight="1">
      <c r="A17" s="14"/>
      <c r="B17" s="231"/>
      <c r="C17" s="231"/>
      <c r="D17" s="231"/>
      <c r="E17" s="231"/>
      <c r="F17" s="231"/>
    </row>
    <row r="18" spans="1:6" ht="4" customHeight="1">
      <c r="A18" s="14"/>
      <c r="B18" s="232"/>
      <c r="C18" s="232"/>
      <c r="D18" s="232"/>
      <c r="E18" s="232"/>
      <c r="F18" s="232"/>
    </row>
    <row r="19" spans="1:6" ht="16" customHeight="1">
      <c r="A19" s="15" t="s">
        <v>12</v>
      </c>
      <c r="B19" s="232"/>
      <c r="C19" s="232"/>
      <c r="D19" s="232"/>
      <c r="E19" s="232"/>
      <c r="F19" s="232"/>
    </row>
    <row r="20" spans="1:6" ht="11" customHeight="1" thickBot="1">
      <c r="A20" s="16" t="s">
        <v>13</v>
      </c>
      <c r="B20" s="233"/>
      <c r="C20" s="233"/>
      <c r="D20" s="233"/>
      <c r="E20" s="233"/>
      <c r="F20" s="233"/>
    </row>
    <row r="21" spans="1:6" ht="22" customHeight="1" thickBot="1">
      <c r="A21" s="10" t="s">
        <v>14</v>
      </c>
      <c r="B21" s="27"/>
      <c r="C21" s="27"/>
      <c r="D21" s="27"/>
      <c r="E21" s="27"/>
      <c r="F21" s="20">
        <f t="shared" si="0"/>
        <v>0</v>
      </c>
    </row>
    <row r="22" spans="1:6" ht="22" customHeight="1" thickBot="1">
      <c r="A22" s="9" t="s">
        <v>15</v>
      </c>
      <c r="B22" s="25"/>
      <c r="C22" s="25"/>
      <c r="D22" s="25"/>
      <c r="E22" s="25"/>
      <c r="F22" s="20">
        <f t="shared" si="0"/>
        <v>0</v>
      </c>
    </row>
    <row r="23" spans="1:6" ht="22" customHeight="1" thickBot="1">
      <c r="A23" s="10" t="s">
        <v>16</v>
      </c>
      <c r="B23" s="27"/>
      <c r="C23" s="27"/>
      <c r="D23" s="27"/>
      <c r="E23" s="27"/>
      <c r="F23" s="20">
        <f t="shared" si="0"/>
        <v>0</v>
      </c>
    </row>
    <row r="24" spans="1:6" ht="22" customHeight="1" thickBot="1">
      <c r="A24" s="9" t="s">
        <v>17</v>
      </c>
      <c r="B24" s="25"/>
      <c r="C24" s="25"/>
      <c r="D24" s="25"/>
      <c r="E24" s="25"/>
      <c r="F24" s="20">
        <f t="shared" si="0"/>
        <v>0</v>
      </c>
    </row>
    <row r="25" spans="1:6" ht="22" customHeight="1" thickBot="1">
      <c r="A25" s="9" t="s">
        <v>18</v>
      </c>
      <c r="B25" s="25"/>
      <c r="C25" s="25"/>
      <c r="D25" s="25"/>
      <c r="E25" s="25"/>
      <c r="F25" s="20">
        <f t="shared" si="0"/>
        <v>0</v>
      </c>
    </row>
    <row r="26" spans="1:6" ht="7" customHeight="1">
      <c r="A26" s="14"/>
      <c r="B26" s="234"/>
      <c r="C26" s="234"/>
      <c r="D26" s="234"/>
      <c r="E26" s="234"/>
      <c r="F26" s="234"/>
    </row>
    <row r="27" spans="1:6" ht="5" customHeight="1">
      <c r="A27" s="14"/>
      <c r="B27" s="232"/>
      <c r="C27" s="232"/>
      <c r="D27" s="232"/>
      <c r="E27" s="232"/>
      <c r="F27" s="232"/>
    </row>
    <row r="28" spans="1:6" ht="21" customHeight="1">
      <c r="A28" s="15" t="s">
        <v>19</v>
      </c>
      <c r="B28" s="232"/>
      <c r="C28" s="232"/>
      <c r="D28" s="232"/>
      <c r="E28" s="232"/>
      <c r="F28" s="232"/>
    </row>
    <row r="29" spans="1:6" ht="10" customHeight="1" thickBot="1">
      <c r="A29" s="16" t="s">
        <v>20</v>
      </c>
      <c r="B29" s="233"/>
      <c r="C29" s="233"/>
      <c r="D29" s="233"/>
      <c r="E29" s="233"/>
      <c r="F29" s="233"/>
    </row>
    <row r="30" spans="1:6" ht="23" customHeight="1" thickBot="1">
      <c r="A30" s="9" t="s">
        <v>21</v>
      </c>
      <c r="B30" s="25"/>
      <c r="C30" s="25"/>
      <c r="D30" s="25"/>
      <c r="E30" s="25"/>
      <c r="F30" s="20">
        <f t="shared" si="0"/>
        <v>0</v>
      </c>
    </row>
    <row r="31" spans="1:6" ht="23" customHeight="1" thickBot="1">
      <c r="A31" s="11" t="s">
        <v>22</v>
      </c>
      <c r="B31" s="25"/>
      <c r="C31" s="25"/>
      <c r="D31" s="25"/>
      <c r="E31" s="25"/>
      <c r="F31" s="19">
        <f t="shared" si="0"/>
        <v>0</v>
      </c>
    </row>
    <row r="32" spans="1:6" ht="23" customHeight="1" thickBot="1">
      <c r="A32" s="12" t="s">
        <v>23</v>
      </c>
      <c r="B32" s="26"/>
      <c r="C32" s="26"/>
      <c r="D32" s="26"/>
      <c r="E32" s="25"/>
      <c r="F32" s="20">
        <f t="shared" si="0"/>
        <v>0</v>
      </c>
    </row>
    <row r="33" spans="1:6" ht="9" customHeight="1">
      <c r="A33" s="13"/>
      <c r="B33" s="231"/>
      <c r="C33" s="231"/>
      <c r="D33" s="231"/>
      <c r="E33" s="231"/>
      <c r="F33" s="234"/>
    </row>
    <row r="34" spans="1:6" ht="4" customHeight="1">
      <c r="A34" s="14"/>
      <c r="B34" s="232"/>
      <c r="C34" s="232"/>
      <c r="D34" s="232"/>
      <c r="E34" s="232"/>
      <c r="F34" s="232"/>
    </row>
    <row r="35" spans="1:6" ht="21" customHeight="1">
      <c r="A35" s="15" t="s">
        <v>24</v>
      </c>
      <c r="B35" s="232"/>
      <c r="C35" s="232"/>
      <c r="D35" s="232"/>
      <c r="E35" s="232"/>
      <c r="F35" s="232"/>
    </row>
    <row r="36" spans="1:6" ht="9" customHeight="1" thickBot="1">
      <c r="A36" s="16" t="s">
        <v>20</v>
      </c>
      <c r="B36" s="233"/>
      <c r="C36" s="233"/>
      <c r="D36" s="233"/>
      <c r="E36" s="233"/>
      <c r="F36" s="233"/>
    </row>
    <row r="37" spans="1:6" ht="23" customHeight="1" thickBot="1">
      <c r="A37" s="9" t="s">
        <v>25</v>
      </c>
      <c r="B37" s="25"/>
      <c r="C37" s="25"/>
      <c r="D37" s="25"/>
      <c r="E37" s="25"/>
      <c r="F37" s="19">
        <f t="shared" si="0"/>
        <v>0</v>
      </c>
    </row>
    <row r="38" spans="1:6" ht="23" customHeight="1" thickBot="1">
      <c r="A38" s="11" t="s">
        <v>59</v>
      </c>
      <c r="B38" s="25"/>
      <c r="C38" s="25"/>
      <c r="D38" s="25"/>
      <c r="E38" s="25"/>
      <c r="F38" s="20">
        <f t="shared" si="0"/>
        <v>0</v>
      </c>
    </row>
    <row r="39" spans="1:6" ht="23" customHeight="1" thickBot="1">
      <c r="A39" s="11" t="s">
        <v>62</v>
      </c>
      <c r="B39" s="25"/>
      <c r="C39" s="25"/>
      <c r="D39" s="25"/>
      <c r="E39" s="25"/>
      <c r="F39" s="20"/>
    </row>
    <row r="40" spans="1:6" ht="23" customHeight="1" thickBot="1">
      <c r="A40" s="11" t="s">
        <v>60</v>
      </c>
      <c r="B40" s="25"/>
      <c r="C40" s="25"/>
      <c r="D40" s="25"/>
      <c r="E40" s="25"/>
      <c r="F40" s="20">
        <f t="shared" si="0"/>
        <v>0</v>
      </c>
    </row>
    <row r="41" spans="1:6" ht="23" customHeight="1" thickBot="1">
      <c r="A41" s="11" t="s">
        <v>61</v>
      </c>
      <c r="B41" s="25"/>
      <c r="C41" s="25"/>
      <c r="D41" s="25"/>
      <c r="E41" s="25"/>
      <c r="F41" s="20"/>
    </row>
    <row r="42" spans="1:6" ht="23" customHeight="1" thickBot="1">
      <c r="A42" s="9" t="s">
        <v>26</v>
      </c>
      <c r="B42" s="25"/>
      <c r="C42" s="25"/>
      <c r="D42" s="25"/>
      <c r="E42" s="25"/>
      <c r="F42" s="20">
        <f t="shared" si="0"/>
        <v>0</v>
      </c>
    </row>
    <row r="43" spans="1:6">
      <c r="F43" s="17"/>
    </row>
    <row r="44" spans="1:6" ht="9" customHeight="1"/>
  </sheetData>
  <mergeCells count="16">
    <mergeCell ref="B26:B29"/>
    <mergeCell ref="C26:C29"/>
    <mergeCell ref="D26:D29"/>
    <mergeCell ref="E26:E29"/>
    <mergeCell ref="F26:F29"/>
    <mergeCell ref="B33:B36"/>
    <mergeCell ref="C33:C36"/>
    <mergeCell ref="D33:D36"/>
    <mergeCell ref="E33:E36"/>
    <mergeCell ref="F33:F36"/>
    <mergeCell ref="F17:F20"/>
    <mergeCell ref="A1:D1"/>
    <mergeCell ref="B17:B20"/>
    <mergeCell ref="C17:C20"/>
    <mergeCell ref="D17:D20"/>
    <mergeCell ref="E17:E20"/>
  </mergeCell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7F988-8917-8944-8537-9BAC0526E37D}">
  <dimension ref="A1:N85"/>
  <sheetViews>
    <sheetView zoomScale="125" zoomScaleNormal="75" workbookViewId="0">
      <selection activeCell="K127" sqref="K127"/>
    </sheetView>
  </sheetViews>
  <sheetFormatPr baseColWidth="10" defaultRowHeight="16"/>
  <cols>
    <col min="1" max="1" width="45.6640625" customWidth="1"/>
    <col min="2" max="5" width="13.83203125" customWidth="1"/>
    <col min="6" max="6" width="15.33203125" customWidth="1"/>
    <col min="7" max="7" width="19.33203125" customWidth="1"/>
    <col min="8" max="8" width="20.5" customWidth="1"/>
    <col min="9" max="9" width="20.83203125" customWidth="1"/>
    <col min="10" max="14" width="17.33203125" customWidth="1"/>
  </cols>
  <sheetData>
    <row r="1" spans="1:14" ht="24">
      <c r="A1" s="235" t="s">
        <v>55</v>
      </c>
      <c r="B1" s="235"/>
      <c r="C1" s="235"/>
      <c r="D1" s="235"/>
    </row>
    <row r="2" spans="1:14" ht="45" customHeight="1">
      <c r="A2" s="24" t="s">
        <v>30</v>
      </c>
      <c r="B2" s="24" t="s">
        <v>51</v>
      </c>
      <c r="C2" s="24" t="s">
        <v>6</v>
      </c>
      <c r="D2" s="24" t="s">
        <v>7</v>
      </c>
      <c r="E2" s="24" t="s">
        <v>27</v>
      </c>
      <c r="F2" s="96" t="s">
        <v>66</v>
      </c>
      <c r="G2" s="1"/>
      <c r="H2" s="1"/>
    </row>
    <row r="3" spans="1:14" ht="30" customHeight="1">
      <c r="A3" s="114" t="s">
        <v>33</v>
      </c>
      <c r="B3" s="30" t="s">
        <v>67</v>
      </c>
      <c r="C3" s="21">
        <v>11</v>
      </c>
      <c r="D3" s="21">
        <v>6</v>
      </c>
      <c r="E3" s="22" t="s">
        <v>28</v>
      </c>
      <c r="F3" s="97">
        <v>1</v>
      </c>
      <c r="G3" s="1"/>
      <c r="H3" s="1"/>
      <c r="I3" s="1"/>
    </row>
    <row r="4" spans="1:14" ht="30" customHeight="1">
      <c r="A4" s="116" t="s">
        <v>91</v>
      </c>
      <c r="B4" s="30" t="s">
        <v>84</v>
      </c>
      <c r="C4" s="30">
        <v>11</v>
      </c>
      <c r="D4" s="21">
        <v>9</v>
      </c>
      <c r="E4" s="22" t="s">
        <v>28</v>
      </c>
      <c r="F4" s="97">
        <v>1</v>
      </c>
      <c r="G4" s="1"/>
      <c r="H4" s="1"/>
      <c r="I4" s="211" t="s">
        <v>121</v>
      </c>
      <c r="J4" s="21" t="s">
        <v>43</v>
      </c>
      <c r="K4" s="21" t="s">
        <v>42</v>
      </c>
      <c r="L4" s="214" t="s">
        <v>118</v>
      </c>
      <c r="M4" s="215"/>
      <c r="N4" s="215"/>
    </row>
    <row r="5" spans="1:14" ht="30" customHeight="1">
      <c r="A5" s="114" t="s">
        <v>129</v>
      </c>
      <c r="B5" s="30" t="s">
        <v>84</v>
      </c>
      <c r="C5" s="21">
        <v>4</v>
      </c>
      <c r="D5" s="21">
        <v>4</v>
      </c>
      <c r="E5" s="22" t="s">
        <v>28</v>
      </c>
      <c r="F5" s="97">
        <v>1</v>
      </c>
      <c r="G5" s="1"/>
      <c r="H5" s="1"/>
      <c r="I5" s="210" t="s">
        <v>15</v>
      </c>
      <c r="J5" s="216">
        <f>J6/N6</f>
        <v>0</v>
      </c>
      <c r="K5" s="216">
        <f>K6/N6</f>
        <v>0</v>
      </c>
      <c r="L5" s="212">
        <f>L6/N6</f>
        <v>1</v>
      </c>
      <c r="M5" s="212"/>
      <c r="N5" s="213">
        <f>J5+K5+L5+M5</f>
        <v>1</v>
      </c>
    </row>
    <row r="6" spans="1:14" ht="30" customHeight="1">
      <c r="A6" s="220" t="s">
        <v>153</v>
      </c>
      <c r="B6" s="22" t="s">
        <v>128</v>
      </c>
      <c r="C6" s="22">
        <v>9</v>
      </c>
      <c r="D6" s="22">
        <v>9</v>
      </c>
      <c r="E6" s="22" t="s">
        <v>28</v>
      </c>
      <c r="F6" s="97">
        <v>1</v>
      </c>
      <c r="G6" s="1"/>
      <c r="H6" s="1"/>
      <c r="J6" s="208">
        <f>B22</f>
        <v>0</v>
      </c>
      <c r="K6" s="208">
        <f>C22</f>
        <v>0</v>
      </c>
      <c r="L6" s="208">
        <f>D22+E22</f>
        <v>28</v>
      </c>
      <c r="M6" s="209"/>
      <c r="N6" s="209">
        <f>K6+L6+M6+J6</f>
        <v>28</v>
      </c>
    </row>
    <row r="7" spans="1:14" ht="30" customHeight="1">
      <c r="A7" s="36"/>
      <c r="B7" s="23"/>
      <c r="C7" s="23"/>
      <c r="D7" s="23"/>
      <c r="E7" s="23"/>
      <c r="F7" s="98"/>
      <c r="G7" s="1"/>
      <c r="H7" s="1"/>
    </row>
    <row r="8" spans="1:14" ht="30" customHeight="1">
      <c r="A8" s="36"/>
      <c r="B8" s="23"/>
      <c r="C8" s="23"/>
      <c r="D8" s="23"/>
      <c r="E8" s="23"/>
      <c r="F8" s="98"/>
      <c r="G8" s="1"/>
      <c r="H8" s="1"/>
      <c r="I8" s="206"/>
      <c r="J8" s="197"/>
      <c r="K8" s="197"/>
      <c r="L8" s="197"/>
      <c r="M8" s="197"/>
    </row>
    <row r="9" spans="1:14" ht="30" customHeight="1">
      <c r="A9" s="126" t="s">
        <v>29</v>
      </c>
      <c r="B9" s="127"/>
      <c r="C9" s="129">
        <f>(C3+C4+C5+C6+C7+C8)</f>
        <v>35</v>
      </c>
      <c r="D9" s="129">
        <f>(D3+D4+D5+D6+D7+D8)</f>
        <v>28</v>
      </c>
      <c r="E9" s="129"/>
      <c r="F9" s="129">
        <f t="shared" ref="F9" si="0">(F3+F4+F5+F6+F7+F8)</f>
        <v>4</v>
      </c>
      <c r="G9" s="1"/>
      <c r="H9" s="1"/>
      <c r="I9" s="206"/>
      <c r="J9" s="197"/>
      <c r="K9" s="197"/>
      <c r="L9" s="197"/>
      <c r="M9" s="197"/>
      <c r="N9" s="197"/>
    </row>
    <row r="10" spans="1:14" ht="30" customHeight="1" thickBot="1">
      <c r="A10" s="1"/>
      <c r="B10" s="1"/>
      <c r="C10" s="1"/>
      <c r="D10" s="1"/>
      <c r="E10" s="1"/>
      <c r="F10" s="1"/>
      <c r="G10" s="1"/>
      <c r="H10" s="1"/>
    </row>
    <row r="11" spans="1:14" ht="30" customHeight="1" thickBot="1">
      <c r="A11" s="2"/>
      <c r="B11" s="3">
        <v>0</v>
      </c>
      <c r="C11" s="4">
        <v>1</v>
      </c>
      <c r="D11" s="5">
        <v>2</v>
      </c>
      <c r="E11" s="6">
        <v>3</v>
      </c>
      <c r="F11" s="18" t="s">
        <v>29</v>
      </c>
      <c r="G11" s="1"/>
      <c r="H11" s="1"/>
    </row>
    <row r="12" spans="1:14" ht="22" customHeight="1" thickBot="1">
      <c r="A12" s="7" t="s">
        <v>101</v>
      </c>
      <c r="B12" s="28"/>
      <c r="C12" s="28"/>
      <c r="D12" s="28">
        <f>2+3</f>
        <v>5</v>
      </c>
      <c r="E12" s="28">
        <f>4+6</f>
        <v>10</v>
      </c>
      <c r="F12" s="20">
        <f t="shared" ref="F12:F42" si="1">B12+C12+D12+E12</f>
        <v>15</v>
      </c>
      <c r="G12" s="1"/>
      <c r="H12" s="1"/>
    </row>
    <row r="13" spans="1:14" ht="22" customHeight="1" thickBot="1">
      <c r="A13" s="7" t="s">
        <v>76</v>
      </c>
      <c r="B13" s="28"/>
      <c r="C13" s="28"/>
      <c r="D13" s="28">
        <f>2</f>
        <v>2</v>
      </c>
      <c r="E13" s="28">
        <f>7+4</f>
        <v>11</v>
      </c>
      <c r="F13" s="20">
        <f t="shared" si="1"/>
        <v>13</v>
      </c>
      <c r="G13" s="1"/>
      <c r="H13" s="1"/>
    </row>
    <row r="14" spans="1:14" ht="22" customHeight="1" thickBot="1">
      <c r="A14" s="8" t="s">
        <v>9</v>
      </c>
      <c r="B14" s="29"/>
      <c r="C14" s="29"/>
      <c r="D14" s="29">
        <f>3+2+1+3</f>
        <v>9</v>
      </c>
      <c r="E14" s="29">
        <f>3+7+3+6</f>
        <v>19</v>
      </c>
      <c r="F14" s="20">
        <f t="shared" si="1"/>
        <v>28</v>
      </c>
      <c r="G14" s="1"/>
      <c r="H14" s="1"/>
    </row>
    <row r="15" spans="1:14" ht="22" customHeight="1" thickBot="1">
      <c r="A15" s="9" t="s">
        <v>10</v>
      </c>
      <c r="B15" s="25"/>
      <c r="C15" s="25"/>
      <c r="D15" s="25">
        <f>1+1+1+2</f>
        <v>5</v>
      </c>
      <c r="E15" s="25">
        <f>5+8+3+7</f>
        <v>23</v>
      </c>
      <c r="F15" s="20">
        <f t="shared" si="1"/>
        <v>28</v>
      </c>
      <c r="G15" s="1"/>
      <c r="H15" s="1"/>
    </row>
    <row r="16" spans="1:14" ht="22" customHeight="1" thickBot="1">
      <c r="A16" s="10" t="s">
        <v>11</v>
      </c>
      <c r="B16" s="27"/>
      <c r="C16" s="27"/>
      <c r="D16" s="27">
        <f>3+1</f>
        <v>4</v>
      </c>
      <c r="E16" s="27">
        <f>3+9+4+8</f>
        <v>24</v>
      </c>
      <c r="F16" s="20">
        <f t="shared" si="1"/>
        <v>28</v>
      </c>
      <c r="H16" s="1"/>
    </row>
    <row r="17" spans="1:14" ht="10" customHeight="1">
      <c r="A17" s="14"/>
      <c r="B17" s="231"/>
      <c r="C17" s="231"/>
      <c r="D17" s="231"/>
      <c r="E17" s="231"/>
      <c r="F17" s="231"/>
    </row>
    <row r="18" spans="1:14" ht="4" customHeight="1">
      <c r="A18" s="14"/>
      <c r="B18" s="232"/>
      <c r="C18" s="232"/>
      <c r="D18" s="232"/>
      <c r="E18" s="232"/>
      <c r="F18" s="232"/>
    </row>
    <row r="19" spans="1:14" ht="16" customHeight="1">
      <c r="A19" s="15" t="s">
        <v>12</v>
      </c>
      <c r="B19" s="232"/>
      <c r="C19" s="232"/>
      <c r="D19" s="232"/>
      <c r="E19" s="232"/>
      <c r="F19" s="232"/>
    </row>
    <row r="20" spans="1:14" ht="11" customHeight="1" thickBot="1">
      <c r="A20" s="16" t="s">
        <v>13</v>
      </c>
      <c r="B20" s="233"/>
      <c r="C20" s="233"/>
      <c r="D20" s="233"/>
      <c r="E20" s="233"/>
      <c r="F20" s="233"/>
    </row>
    <row r="21" spans="1:14" ht="22" customHeight="1" thickBot="1">
      <c r="A21" s="10" t="s">
        <v>14</v>
      </c>
      <c r="B21" s="27"/>
      <c r="C21" s="27"/>
      <c r="D21" s="27">
        <f>2+4</f>
        <v>6</v>
      </c>
      <c r="E21" s="27">
        <f>4+9+4+5</f>
        <v>22</v>
      </c>
      <c r="F21" s="20">
        <f t="shared" si="1"/>
        <v>28</v>
      </c>
    </row>
    <row r="22" spans="1:14" ht="22" customHeight="1" thickBot="1">
      <c r="A22" s="9" t="s">
        <v>15</v>
      </c>
      <c r="B22" s="25"/>
      <c r="C22" s="25"/>
      <c r="D22" s="25">
        <f>1+2</f>
        <v>3</v>
      </c>
      <c r="E22" s="25">
        <f>5+9+4+7</f>
        <v>25</v>
      </c>
      <c r="F22" s="20">
        <f t="shared" si="1"/>
        <v>28</v>
      </c>
    </row>
    <row r="23" spans="1:14" ht="22" customHeight="1" thickBot="1">
      <c r="A23" s="10" t="s">
        <v>16</v>
      </c>
      <c r="B23" s="27"/>
      <c r="C23" s="27">
        <v>1</v>
      </c>
      <c r="D23" s="27">
        <f>2+1+4</f>
        <v>7</v>
      </c>
      <c r="E23" s="27">
        <f>4+8+3+5</f>
        <v>20</v>
      </c>
      <c r="F23" s="20">
        <f t="shared" si="1"/>
        <v>28</v>
      </c>
    </row>
    <row r="24" spans="1:14" ht="22" customHeight="1" thickBot="1">
      <c r="A24" s="9" t="s">
        <v>17</v>
      </c>
      <c r="B24" s="25"/>
      <c r="C24" s="25">
        <v>2</v>
      </c>
      <c r="D24" s="25">
        <f>4+4+3</f>
        <v>11</v>
      </c>
      <c r="E24" s="25">
        <f>5+4+6</f>
        <v>15</v>
      </c>
      <c r="F24" s="20">
        <f t="shared" si="1"/>
        <v>28</v>
      </c>
    </row>
    <row r="25" spans="1:14" ht="22" customHeight="1" thickBot="1">
      <c r="A25" s="9" t="s">
        <v>18</v>
      </c>
      <c r="B25" s="25"/>
      <c r="C25" s="25">
        <v>1</v>
      </c>
      <c r="D25" s="25">
        <f>2+2+3+5</f>
        <v>12</v>
      </c>
      <c r="E25" s="25">
        <f>3+7+1+4</f>
        <v>15</v>
      </c>
      <c r="F25" s="20">
        <f t="shared" si="1"/>
        <v>28</v>
      </c>
      <c r="I25" s="211" t="s">
        <v>121</v>
      </c>
      <c r="J25" s="21" t="s">
        <v>43</v>
      </c>
      <c r="K25" s="21" t="s">
        <v>42</v>
      </c>
      <c r="L25" s="214" t="s">
        <v>118</v>
      </c>
      <c r="M25" s="215"/>
      <c r="N25" s="215"/>
    </row>
    <row r="26" spans="1:14" ht="25" customHeight="1">
      <c r="A26" s="14"/>
      <c r="B26" s="234"/>
      <c r="C26" s="234"/>
      <c r="D26" s="234"/>
      <c r="E26" s="234"/>
      <c r="F26" s="234"/>
      <c r="I26" s="210" t="s">
        <v>16</v>
      </c>
      <c r="J26" s="211">
        <f>J27/N27</f>
        <v>0</v>
      </c>
      <c r="K26" s="212">
        <f>K27/N27</f>
        <v>3.5714285714285712E-2</v>
      </c>
      <c r="L26" s="212">
        <f>L27/N27</f>
        <v>0.9642857142857143</v>
      </c>
      <c r="M26" s="212"/>
      <c r="N26" s="213">
        <f>J26+K26+L26+M26</f>
        <v>1</v>
      </c>
    </row>
    <row r="27" spans="1:14" ht="15" customHeight="1">
      <c r="A27" s="14"/>
      <c r="B27" s="232"/>
      <c r="C27" s="232"/>
      <c r="D27" s="232"/>
      <c r="E27" s="232"/>
      <c r="F27" s="232"/>
      <c r="J27" s="208">
        <f>B23</f>
        <v>0</v>
      </c>
      <c r="K27" s="208">
        <f>C23</f>
        <v>1</v>
      </c>
      <c r="L27" s="208">
        <f>D23+E23</f>
        <v>27</v>
      </c>
      <c r="M27" s="209"/>
      <c r="N27" s="209">
        <f>K27+L27+M27+J27</f>
        <v>28</v>
      </c>
    </row>
    <row r="28" spans="1:14" ht="21" customHeight="1">
      <c r="A28" s="15" t="s">
        <v>19</v>
      </c>
      <c r="B28" s="232"/>
      <c r="C28" s="232"/>
      <c r="D28" s="232"/>
      <c r="E28" s="232"/>
      <c r="F28" s="232"/>
      <c r="I28" s="206"/>
    </row>
    <row r="29" spans="1:14" ht="10" customHeight="1" thickBot="1">
      <c r="A29" s="16" t="s">
        <v>20</v>
      </c>
      <c r="B29" s="233"/>
      <c r="C29" s="233"/>
      <c r="D29" s="233"/>
      <c r="E29" s="233"/>
      <c r="F29" s="233"/>
      <c r="I29" s="206"/>
    </row>
    <row r="30" spans="1:14" ht="23" customHeight="1" thickBot="1">
      <c r="A30" s="9" t="s">
        <v>21</v>
      </c>
      <c r="B30" s="25"/>
      <c r="C30" s="25"/>
      <c r="D30" s="25">
        <f>2</f>
        <v>2</v>
      </c>
      <c r="E30" s="25">
        <f>6+9+4+7</f>
        <v>26</v>
      </c>
      <c r="F30" s="20">
        <f t="shared" si="1"/>
        <v>28</v>
      </c>
    </row>
    <row r="31" spans="1:14" ht="23" customHeight="1" thickBot="1">
      <c r="A31" s="11" t="s">
        <v>22</v>
      </c>
      <c r="B31" s="25"/>
      <c r="C31" s="25"/>
      <c r="D31" s="25">
        <f>1</f>
        <v>1</v>
      </c>
      <c r="E31" s="25">
        <f>6+9+4+8</f>
        <v>27</v>
      </c>
      <c r="F31" s="19">
        <f t="shared" si="1"/>
        <v>28</v>
      </c>
    </row>
    <row r="32" spans="1:14" ht="23" customHeight="1" thickBot="1">
      <c r="A32" s="12" t="s">
        <v>23</v>
      </c>
      <c r="B32" s="26"/>
      <c r="C32" s="26">
        <v>1</v>
      </c>
      <c r="D32" s="26">
        <f>3+1</f>
        <v>4</v>
      </c>
      <c r="E32" s="25">
        <f>2+9+4+8</f>
        <v>23</v>
      </c>
      <c r="F32" s="20">
        <f t="shared" si="1"/>
        <v>28</v>
      </c>
    </row>
    <row r="33" spans="1:6" ht="9" customHeight="1">
      <c r="A33" s="13"/>
      <c r="B33" s="231"/>
      <c r="C33" s="231"/>
      <c r="D33" s="231"/>
      <c r="E33" s="231"/>
      <c r="F33" s="234"/>
    </row>
    <row r="34" spans="1:6" ht="4" customHeight="1">
      <c r="A34" s="14"/>
      <c r="B34" s="232"/>
      <c r="C34" s="232"/>
      <c r="D34" s="232"/>
      <c r="E34" s="232"/>
      <c r="F34" s="232"/>
    </row>
    <row r="35" spans="1:6" ht="21" customHeight="1">
      <c r="A35" s="15" t="s">
        <v>24</v>
      </c>
      <c r="B35" s="232"/>
      <c r="C35" s="232"/>
      <c r="D35" s="232"/>
      <c r="E35" s="232"/>
      <c r="F35" s="232"/>
    </row>
    <row r="36" spans="1:6" ht="9" customHeight="1" thickBot="1">
      <c r="A36" s="16" t="s">
        <v>20</v>
      </c>
      <c r="B36" s="233"/>
      <c r="C36" s="233"/>
      <c r="D36" s="233"/>
      <c r="E36" s="233"/>
      <c r="F36" s="233"/>
    </row>
    <row r="37" spans="1:6" ht="23" customHeight="1" thickBot="1">
      <c r="A37" s="9" t="s">
        <v>25</v>
      </c>
      <c r="B37" s="25"/>
      <c r="C37" s="25"/>
      <c r="D37" s="25">
        <f>2+1</f>
        <v>3</v>
      </c>
      <c r="E37" s="25">
        <f>4+8+4+9</f>
        <v>25</v>
      </c>
      <c r="F37" s="19">
        <f t="shared" si="1"/>
        <v>28</v>
      </c>
    </row>
    <row r="38" spans="1:6" ht="23" customHeight="1" thickBot="1">
      <c r="A38" s="11" t="s">
        <v>59</v>
      </c>
      <c r="B38" s="25"/>
      <c r="C38" s="25"/>
      <c r="D38" s="25">
        <f>3</f>
        <v>3</v>
      </c>
      <c r="E38" s="25">
        <f>7</f>
        <v>7</v>
      </c>
      <c r="F38" s="20">
        <f t="shared" si="1"/>
        <v>10</v>
      </c>
    </row>
    <row r="39" spans="1:6" ht="23" customHeight="1" thickBot="1">
      <c r="A39" s="11" t="s">
        <v>62</v>
      </c>
      <c r="B39" s="25"/>
      <c r="C39" s="25"/>
      <c r="D39" s="25">
        <f>2+2</f>
        <v>4</v>
      </c>
      <c r="E39" s="25">
        <f>7+2</f>
        <v>9</v>
      </c>
      <c r="F39" s="20">
        <f t="shared" si="1"/>
        <v>13</v>
      </c>
    </row>
    <row r="40" spans="1:6" ht="23" customHeight="1" thickBot="1">
      <c r="A40" s="11" t="s">
        <v>60</v>
      </c>
      <c r="B40" s="25"/>
      <c r="C40" s="25"/>
      <c r="D40" s="25">
        <f>2</f>
        <v>2</v>
      </c>
      <c r="E40" s="25">
        <f>7</f>
        <v>7</v>
      </c>
      <c r="F40" s="20">
        <f t="shared" si="1"/>
        <v>9</v>
      </c>
    </row>
    <row r="41" spans="1:6" ht="23" customHeight="1" thickBot="1">
      <c r="A41" s="11" t="s">
        <v>61</v>
      </c>
      <c r="B41" s="25"/>
      <c r="C41" s="25"/>
      <c r="D41" s="25">
        <f>1+2</f>
        <v>3</v>
      </c>
      <c r="E41" s="25">
        <f>8+2</f>
        <v>10</v>
      </c>
      <c r="F41" s="20">
        <f t="shared" si="1"/>
        <v>13</v>
      </c>
    </row>
    <row r="42" spans="1:6" ht="23" customHeight="1" thickBot="1">
      <c r="A42" s="9" t="s">
        <v>26</v>
      </c>
      <c r="B42" s="25"/>
      <c r="C42" s="25"/>
      <c r="D42" s="25">
        <f>2+3</f>
        <v>5</v>
      </c>
      <c r="E42" s="25">
        <f>6+9+2+6</f>
        <v>23</v>
      </c>
      <c r="F42" s="20">
        <f t="shared" si="1"/>
        <v>28</v>
      </c>
    </row>
    <row r="43" spans="1:6">
      <c r="F43" s="17"/>
    </row>
    <row r="44" spans="1:6" ht="9" customHeight="1"/>
    <row r="51" spans="9:14" ht="17">
      <c r="I51" s="211" t="s">
        <v>121</v>
      </c>
      <c r="J51" s="21" t="s">
        <v>43</v>
      </c>
      <c r="K51" s="21" t="s">
        <v>42</v>
      </c>
      <c r="L51" s="214" t="s">
        <v>118</v>
      </c>
      <c r="M51" s="215"/>
      <c r="N51" s="215"/>
    </row>
    <row r="52" spans="9:14" ht="26">
      <c r="I52" s="210" t="s">
        <v>26</v>
      </c>
      <c r="J52" s="216">
        <f>J53/N53</f>
        <v>0</v>
      </c>
      <c r="K52" s="212">
        <f>K53/N53</f>
        <v>0</v>
      </c>
      <c r="L52" s="212">
        <f>L53/N53</f>
        <v>1</v>
      </c>
      <c r="M52" s="212"/>
      <c r="N52" s="213">
        <f>J52+K52+L52+M52</f>
        <v>1</v>
      </c>
    </row>
    <row r="53" spans="9:14">
      <c r="J53" s="208">
        <f>B42</f>
        <v>0</v>
      </c>
      <c r="K53" s="208">
        <f>C42</f>
        <v>0</v>
      </c>
      <c r="L53" s="208">
        <f>D42+E42</f>
        <v>28</v>
      </c>
      <c r="M53" s="208"/>
      <c r="N53" s="209">
        <f>K53+L53+M53+J53</f>
        <v>28</v>
      </c>
    </row>
    <row r="57" spans="9:14">
      <c r="J57" s="81"/>
      <c r="K57" s="81"/>
      <c r="L57" s="80"/>
      <c r="M57" s="81"/>
    </row>
    <row r="58" spans="9:14">
      <c r="I58" s="207"/>
      <c r="J58" s="197"/>
      <c r="K58" s="197"/>
      <c r="L58" s="197"/>
      <c r="M58" s="197"/>
      <c r="N58" s="197"/>
    </row>
    <row r="59" spans="9:14">
      <c r="I59" s="206"/>
    </row>
    <row r="83" spans="9:14" ht="17">
      <c r="I83" s="211" t="s">
        <v>121</v>
      </c>
      <c r="J83" s="21" t="s">
        <v>43</v>
      </c>
      <c r="K83" s="21" t="s">
        <v>42</v>
      </c>
      <c r="L83" s="214" t="s">
        <v>118</v>
      </c>
      <c r="M83" s="215"/>
      <c r="N83" s="215"/>
    </row>
    <row r="84" spans="9:14" ht="26">
      <c r="I84" s="210" t="s">
        <v>18</v>
      </c>
      <c r="J84" s="216">
        <f>J85/N85</f>
        <v>0</v>
      </c>
      <c r="K84" s="212">
        <f>K85/N85</f>
        <v>3.5714285714285712E-2</v>
      </c>
      <c r="L84" s="212">
        <f>L85/N85</f>
        <v>0.9642857142857143</v>
      </c>
      <c r="M84" s="212"/>
      <c r="N84" s="213">
        <f>J84+K84+L84+M84</f>
        <v>1</v>
      </c>
    </row>
    <row r="85" spans="9:14">
      <c r="J85" s="208">
        <f>B25</f>
        <v>0</v>
      </c>
      <c r="K85" s="208">
        <f>C25</f>
        <v>1</v>
      </c>
      <c r="L85" s="208">
        <f>D25+E25</f>
        <v>27</v>
      </c>
      <c r="M85" s="209"/>
      <c r="N85" s="209">
        <f>K85+L85+M85+J85</f>
        <v>28</v>
      </c>
    </row>
  </sheetData>
  <mergeCells count="16">
    <mergeCell ref="F17:F20"/>
    <mergeCell ref="B26:B29"/>
    <mergeCell ref="C26:C29"/>
    <mergeCell ref="D26:D29"/>
    <mergeCell ref="E26:E29"/>
    <mergeCell ref="F26:F29"/>
    <mergeCell ref="A1:D1"/>
    <mergeCell ref="B17:B20"/>
    <mergeCell ref="C17:C20"/>
    <mergeCell ref="D17:D20"/>
    <mergeCell ref="E17:E20"/>
    <mergeCell ref="B33:B36"/>
    <mergeCell ref="C33:C36"/>
    <mergeCell ref="D33:D36"/>
    <mergeCell ref="E33:E36"/>
    <mergeCell ref="F33:F36"/>
  </mergeCells>
  <phoneticPr fontId="14" type="noConversion"/>
  <pageMargins left="0.7" right="0.7" top="0.75" bottom="0.75" header="0.3" footer="0.3"/>
  <pageSetup paperSize="9"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5D820-0AF7-F54B-9437-57B662063D2B}">
  <dimension ref="A1:N85"/>
  <sheetViews>
    <sheetView zoomScaleNormal="75" workbookViewId="0">
      <selection activeCell="E43" sqref="E43"/>
    </sheetView>
  </sheetViews>
  <sheetFormatPr baseColWidth="10" defaultRowHeight="16"/>
  <cols>
    <col min="1" max="1" width="45.6640625" customWidth="1"/>
    <col min="2" max="5" width="13.83203125" customWidth="1"/>
    <col min="6" max="6" width="15.33203125" customWidth="1"/>
    <col min="7" max="7" width="19.33203125" customWidth="1"/>
    <col min="8" max="8" width="20.5" customWidth="1"/>
    <col min="9" max="9" width="20.83203125" customWidth="1"/>
    <col min="10" max="14" width="17.33203125" customWidth="1"/>
  </cols>
  <sheetData>
    <row r="1" spans="1:14" ht="24">
      <c r="A1" s="235" t="s">
        <v>135</v>
      </c>
      <c r="B1" s="235"/>
      <c r="C1" s="235"/>
      <c r="D1" s="235"/>
    </row>
    <row r="2" spans="1:14" ht="45" customHeight="1">
      <c r="A2" s="24" t="s">
        <v>30</v>
      </c>
      <c r="B2" s="24" t="s">
        <v>51</v>
      </c>
      <c r="C2" s="24" t="s">
        <v>6</v>
      </c>
      <c r="D2" s="24" t="s">
        <v>7</v>
      </c>
      <c r="E2" s="24" t="s">
        <v>27</v>
      </c>
      <c r="F2" s="96" t="s">
        <v>66</v>
      </c>
      <c r="G2" s="1"/>
      <c r="H2" s="1"/>
    </row>
    <row r="3" spans="1:14" ht="30" customHeight="1">
      <c r="A3" s="114" t="s">
        <v>141</v>
      </c>
      <c r="B3" s="30" t="s">
        <v>142</v>
      </c>
      <c r="C3" s="30">
        <v>13</v>
      </c>
      <c r="D3" s="30">
        <v>13</v>
      </c>
      <c r="E3" s="30" t="s">
        <v>28</v>
      </c>
      <c r="F3" s="30">
        <v>1</v>
      </c>
      <c r="G3" s="1"/>
      <c r="H3" s="1"/>
      <c r="I3" s="1"/>
    </row>
    <row r="4" spans="1:14" ht="30" customHeight="1">
      <c r="A4" s="116"/>
      <c r="B4" s="30"/>
      <c r="C4" s="30"/>
      <c r="D4" s="21"/>
      <c r="E4" s="22"/>
      <c r="F4" s="97"/>
      <c r="G4" s="1"/>
      <c r="H4" s="1"/>
      <c r="I4" s="211" t="s">
        <v>121</v>
      </c>
      <c r="J4" s="21" t="s">
        <v>43</v>
      </c>
      <c r="K4" s="21" t="s">
        <v>42</v>
      </c>
      <c r="L4" s="214" t="s">
        <v>118</v>
      </c>
      <c r="M4" s="215"/>
      <c r="N4" s="215"/>
    </row>
    <row r="5" spans="1:14" ht="30" customHeight="1">
      <c r="A5" s="114"/>
      <c r="B5" s="30"/>
      <c r="C5" s="21"/>
      <c r="D5" s="21"/>
      <c r="E5" s="22"/>
      <c r="F5" s="97"/>
      <c r="G5" s="1"/>
      <c r="H5" s="1"/>
      <c r="I5" s="210" t="s">
        <v>15</v>
      </c>
      <c r="J5" s="216">
        <f>J6/N6</f>
        <v>0</v>
      </c>
      <c r="K5" s="216">
        <f>K6/N6</f>
        <v>0</v>
      </c>
      <c r="L5" s="212">
        <f>L6/N6</f>
        <v>1</v>
      </c>
      <c r="M5" s="212"/>
      <c r="N5" s="213">
        <f>J5+K5+L5+M5</f>
        <v>1</v>
      </c>
    </row>
    <row r="6" spans="1:14" ht="30" customHeight="1">
      <c r="A6" s="35"/>
      <c r="B6" s="22"/>
      <c r="C6" s="22"/>
      <c r="D6" s="22"/>
      <c r="E6" s="22"/>
      <c r="F6" s="98"/>
      <c r="G6" s="1"/>
      <c r="H6" s="1"/>
      <c r="J6" s="208">
        <f>B22</f>
        <v>0</v>
      </c>
      <c r="K6" s="208">
        <f>C22</f>
        <v>0</v>
      </c>
      <c r="L6" s="208">
        <f>D22+E22</f>
        <v>13</v>
      </c>
      <c r="M6" s="209"/>
      <c r="N6" s="209">
        <f>K6+L6+M6+J6</f>
        <v>13</v>
      </c>
    </row>
    <row r="7" spans="1:14" ht="30" customHeight="1">
      <c r="A7" s="36"/>
      <c r="B7" s="23"/>
      <c r="C7" s="23"/>
      <c r="D7" s="23"/>
      <c r="E7" s="23"/>
      <c r="F7" s="98"/>
      <c r="G7" s="1"/>
      <c r="H7" s="1"/>
    </row>
    <row r="8" spans="1:14" ht="30" customHeight="1">
      <c r="A8" s="36"/>
      <c r="B8" s="23"/>
      <c r="C8" s="23"/>
      <c r="D8" s="23"/>
      <c r="E8" s="23"/>
      <c r="F8" s="98"/>
      <c r="G8" s="1"/>
      <c r="H8" s="1"/>
      <c r="I8" s="206"/>
      <c r="J8" s="197"/>
      <c r="K8" s="197"/>
      <c r="L8" s="197"/>
      <c r="M8" s="197"/>
    </row>
    <row r="9" spans="1:14" ht="30" customHeight="1">
      <c r="A9" s="126" t="s">
        <v>29</v>
      </c>
      <c r="B9" s="127"/>
      <c r="C9" s="129">
        <f>(C3+C4+C5+C6+C7+C8)</f>
        <v>13</v>
      </c>
      <c r="D9" s="129">
        <f t="shared" ref="D9" si="0">(D3+D4+D5+D6+D7+D8)</f>
        <v>13</v>
      </c>
      <c r="E9" s="129"/>
      <c r="F9" s="129">
        <f>(F3+F4+F5+F6+F7+F8)</f>
        <v>1</v>
      </c>
      <c r="G9" s="1"/>
      <c r="H9" s="1"/>
      <c r="I9" s="206"/>
      <c r="J9" s="197"/>
      <c r="K9" s="197"/>
      <c r="L9" s="197"/>
      <c r="M9" s="197"/>
      <c r="N9" s="197"/>
    </row>
    <row r="10" spans="1:14" ht="30" customHeight="1" thickBot="1">
      <c r="A10" s="1"/>
      <c r="B10" s="1"/>
      <c r="C10" s="1"/>
      <c r="D10" s="1"/>
      <c r="E10" s="1"/>
      <c r="F10" s="1"/>
      <c r="G10" s="1"/>
      <c r="H10" s="1"/>
    </row>
    <row r="11" spans="1:14" ht="30" customHeight="1" thickBot="1">
      <c r="A11" s="2"/>
      <c r="B11" s="3">
        <v>0</v>
      </c>
      <c r="C11" s="4">
        <v>1</v>
      </c>
      <c r="D11" s="5">
        <v>2</v>
      </c>
      <c r="E11" s="6">
        <v>3</v>
      </c>
      <c r="F11" s="18" t="s">
        <v>29</v>
      </c>
      <c r="G11" s="1"/>
      <c r="H11" s="1"/>
    </row>
    <row r="12" spans="1:14" ht="22" customHeight="1" thickBot="1">
      <c r="A12" s="7" t="s">
        <v>101</v>
      </c>
      <c r="B12" s="28"/>
      <c r="C12" s="28"/>
      <c r="D12" s="28"/>
      <c r="E12" s="28"/>
      <c r="F12" s="20">
        <f t="shared" ref="F12:F42" si="1">B12+C12+D12+E12</f>
        <v>0</v>
      </c>
      <c r="G12" s="1"/>
      <c r="H12" s="1"/>
    </row>
    <row r="13" spans="1:14" ht="22" customHeight="1" thickBot="1">
      <c r="A13" s="7" t="s">
        <v>76</v>
      </c>
      <c r="B13" s="28"/>
      <c r="C13" s="28"/>
      <c r="D13" s="28">
        <f>7</f>
        <v>7</v>
      </c>
      <c r="E13" s="28">
        <f>6</f>
        <v>6</v>
      </c>
      <c r="F13" s="20">
        <f t="shared" si="1"/>
        <v>13</v>
      </c>
      <c r="G13" s="1"/>
      <c r="H13" s="1"/>
    </row>
    <row r="14" spans="1:14" ht="22" customHeight="1" thickBot="1">
      <c r="A14" s="8" t="s">
        <v>9</v>
      </c>
      <c r="B14" s="29"/>
      <c r="C14" s="29">
        <f>1</f>
        <v>1</v>
      </c>
      <c r="D14" s="29">
        <f>4</f>
        <v>4</v>
      </c>
      <c r="E14" s="29">
        <f>8</f>
        <v>8</v>
      </c>
      <c r="F14" s="20">
        <f t="shared" si="1"/>
        <v>13</v>
      </c>
      <c r="G14" s="1"/>
      <c r="H14" s="1"/>
    </row>
    <row r="15" spans="1:14" ht="22" customHeight="1" thickBot="1">
      <c r="A15" s="9" t="s">
        <v>10</v>
      </c>
      <c r="B15" s="25"/>
      <c r="C15" s="25"/>
      <c r="D15" s="25">
        <f>5</f>
        <v>5</v>
      </c>
      <c r="E15" s="25">
        <f>8</f>
        <v>8</v>
      </c>
      <c r="F15" s="20">
        <f t="shared" si="1"/>
        <v>13</v>
      </c>
      <c r="G15" s="1"/>
      <c r="H15" s="1"/>
    </row>
    <row r="16" spans="1:14" ht="22" customHeight="1" thickBot="1">
      <c r="A16" s="10" t="s">
        <v>11</v>
      </c>
      <c r="B16" s="27"/>
      <c r="C16" s="27"/>
      <c r="D16" s="27">
        <f>2</f>
        <v>2</v>
      </c>
      <c r="E16" s="27">
        <f>11</f>
        <v>11</v>
      </c>
      <c r="F16" s="20">
        <f t="shared" si="1"/>
        <v>13</v>
      </c>
      <c r="H16" s="1"/>
    </row>
    <row r="17" spans="1:14" ht="10" customHeight="1">
      <c r="A17" s="14"/>
      <c r="B17" s="231"/>
      <c r="C17" s="231"/>
      <c r="D17" s="231"/>
      <c r="E17" s="231"/>
      <c r="F17" s="231"/>
    </row>
    <row r="18" spans="1:14" ht="4" customHeight="1">
      <c r="A18" s="14"/>
      <c r="B18" s="232"/>
      <c r="C18" s="232"/>
      <c r="D18" s="232"/>
      <c r="E18" s="232"/>
      <c r="F18" s="232"/>
    </row>
    <row r="19" spans="1:14" ht="16" customHeight="1">
      <c r="A19" s="15" t="s">
        <v>12</v>
      </c>
      <c r="B19" s="232"/>
      <c r="C19" s="232"/>
      <c r="D19" s="232"/>
      <c r="E19" s="232"/>
      <c r="F19" s="232"/>
    </row>
    <row r="20" spans="1:14" ht="11" customHeight="1" thickBot="1">
      <c r="A20" s="16" t="s">
        <v>13</v>
      </c>
      <c r="B20" s="233"/>
      <c r="C20" s="233"/>
      <c r="D20" s="233"/>
      <c r="E20" s="233"/>
      <c r="F20" s="233"/>
    </row>
    <row r="21" spans="1:14" ht="22" customHeight="1" thickBot="1">
      <c r="A21" s="10" t="s">
        <v>14</v>
      </c>
      <c r="B21" s="27"/>
      <c r="C21" s="27"/>
      <c r="D21" s="27">
        <f>4</f>
        <v>4</v>
      </c>
      <c r="E21" s="27">
        <f>9</f>
        <v>9</v>
      </c>
      <c r="F21" s="20">
        <f t="shared" si="1"/>
        <v>13</v>
      </c>
    </row>
    <row r="22" spans="1:14" ht="22" customHeight="1" thickBot="1">
      <c r="A22" s="9" t="s">
        <v>15</v>
      </c>
      <c r="B22" s="25"/>
      <c r="C22" s="25"/>
      <c r="D22" s="25">
        <f>4</f>
        <v>4</v>
      </c>
      <c r="E22" s="25">
        <f>9</f>
        <v>9</v>
      </c>
      <c r="F22" s="20">
        <f t="shared" si="1"/>
        <v>13</v>
      </c>
    </row>
    <row r="23" spans="1:14" ht="22" customHeight="1" thickBot="1">
      <c r="A23" s="10" t="s">
        <v>16</v>
      </c>
      <c r="B23" s="27"/>
      <c r="C23" s="27"/>
      <c r="D23" s="27">
        <f>5</f>
        <v>5</v>
      </c>
      <c r="E23" s="27">
        <f>8</f>
        <v>8</v>
      </c>
      <c r="F23" s="20">
        <f t="shared" si="1"/>
        <v>13</v>
      </c>
    </row>
    <row r="24" spans="1:14" ht="22" customHeight="1" thickBot="1">
      <c r="A24" s="9" t="s">
        <v>17</v>
      </c>
      <c r="B24" s="25"/>
      <c r="C24" s="25">
        <f>1</f>
        <v>1</v>
      </c>
      <c r="D24" s="25">
        <f>4</f>
        <v>4</v>
      </c>
      <c r="E24" s="25">
        <f>8</f>
        <v>8</v>
      </c>
      <c r="F24" s="20">
        <f t="shared" si="1"/>
        <v>13</v>
      </c>
    </row>
    <row r="25" spans="1:14" ht="22" customHeight="1" thickBot="1">
      <c r="A25" s="9" t="s">
        <v>18</v>
      </c>
      <c r="B25" s="25"/>
      <c r="C25" s="25"/>
      <c r="D25" s="25">
        <f>4</f>
        <v>4</v>
      </c>
      <c r="E25" s="25">
        <f>9</f>
        <v>9</v>
      </c>
      <c r="F25" s="20">
        <f t="shared" si="1"/>
        <v>13</v>
      </c>
      <c r="I25" s="211" t="s">
        <v>121</v>
      </c>
      <c r="J25" s="21" t="s">
        <v>43</v>
      </c>
      <c r="K25" s="21" t="s">
        <v>42</v>
      </c>
      <c r="L25" s="214" t="s">
        <v>118</v>
      </c>
      <c r="M25" s="215"/>
      <c r="N25" s="215"/>
    </row>
    <row r="26" spans="1:14" ht="25" customHeight="1">
      <c r="A26" s="14"/>
      <c r="B26" s="234"/>
      <c r="C26" s="234"/>
      <c r="D26" s="234"/>
      <c r="E26" s="234"/>
      <c r="F26" s="234"/>
      <c r="I26" s="210" t="s">
        <v>16</v>
      </c>
      <c r="J26" s="211">
        <f>J27/N27</f>
        <v>0</v>
      </c>
      <c r="K26" s="212">
        <f>K27/N27</f>
        <v>0</v>
      </c>
      <c r="L26" s="212">
        <f>L27/N27</f>
        <v>1</v>
      </c>
      <c r="M26" s="212"/>
      <c r="N26" s="213">
        <f>J26+K26+L26+M26</f>
        <v>1</v>
      </c>
    </row>
    <row r="27" spans="1:14" ht="15" customHeight="1">
      <c r="A27" s="14"/>
      <c r="B27" s="232"/>
      <c r="C27" s="232"/>
      <c r="D27" s="232"/>
      <c r="E27" s="232"/>
      <c r="F27" s="232"/>
      <c r="J27" s="208">
        <f>B23</f>
        <v>0</v>
      </c>
      <c r="K27" s="208">
        <f>C23</f>
        <v>0</v>
      </c>
      <c r="L27" s="208">
        <f>D23+E23</f>
        <v>13</v>
      </c>
      <c r="M27" s="209"/>
      <c r="N27" s="209">
        <f>K27+L27+M27+J27</f>
        <v>13</v>
      </c>
    </row>
    <row r="28" spans="1:14" ht="21" customHeight="1">
      <c r="A28" s="15" t="s">
        <v>19</v>
      </c>
      <c r="B28" s="232"/>
      <c r="C28" s="232"/>
      <c r="D28" s="232"/>
      <c r="E28" s="232"/>
      <c r="F28" s="232"/>
      <c r="I28" s="206"/>
    </row>
    <row r="29" spans="1:14" ht="10" customHeight="1" thickBot="1">
      <c r="A29" s="16" t="s">
        <v>20</v>
      </c>
      <c r="B29" s="233"/>
      <c r="C29" s="233"/>
      <c r="D29" s="233"/>
      <c r="E29" s="233"/>
      <c r="F29" s="233"/>
      <c r="I29" s="206"/>
    </row>
    <row r="30" spans="1:14" ht="23" customHeight="1" thickBot="1">
      <c r="A30" s="9" t="s">
        <v>21</v>
      </c>
      <c r="B30" s="25"/>
      <c r="C30" s="25">
        <f>1</f>
        <v>1</v>
      </c>
      <c r="D30" s="25"/>
      <c r="E30" s="25">
        <f>12</f>
        <v>12</v>
      </c>
      <c r="F30" s="20">
        <f t="shared" si="1"/>
        <v>13</v>
      </c>
    </row>
    <row r="31" spans="1:14" ht="23" customHeight="1" thickBot="1">
      <c r="A31" s="11" t="s">
        <v>22</v>
      </c>
      <c r="B31" s="25"/>
      <c r="C31" s="25"/>
      <c r="D31" s="25">
        <f>1</f>
        <v>1</v>
      </c>
      <c r="E31" s="25">
        <f>12</f>
        <v>12</v>
      </c>
      <c r="F31" s="19">
        <f t="shared" si="1"/>
        <v>13</v>
      </c>
    </row>
    <row r="32" spans="1:14" ht="23" customHeight="1" thickBot="1">
      <c r="A32" s="12" t="s">
        <v>23</v>
      </c>
      <c r="B32" s="26"/>
      <c r="C32" s="26"/>
      <c r="D32" s="26">
        <f>2</f>
        <v>2</v>
      </c>
      <c r="E32" s="25">
        <f>11</f>
        <v>11</v>
      </c>
      <c r="F32" s="20">
        <f t="shared" si="1"/>
        <v>13</v>
      </c>
    </row>
    <row r="33" spans="1:6" ht="9" customHeight="1">
      <c r="A33" s="13"/>
      <c r="B33" s="231"/>
      <c r="C33" s="231"/>
      <c r="D33" s="231"/>
      <c r="E33" s="231"/>
      <c r="F33" s="234"/>
    </row>
    <row r="34" spans="1:6" ht="4" customHeight="1">
      <c r="A34" s="14"/>
      <c r="B34" s="232"/>
      <c r="C34" s="232"/>
      <c r="D34" s="232"/>
      <c r="E34" s="232"/>
      <c r="F34" s="232"/>
    </row>
    <row r="35" spans="1:6" ht="21" customHeight="1">
      <c r="A35" s="15" t="s">
        <v>24</v>
      </c>
      <c r="B35" s="232"/>
      <c r="C35" s="232"/>
      <c r="D35" s="232"/>
      <c r="E35" s="232"/>
      <c r="F35" s="232"/>
    </row>
    <row r="36" spans="1:6" ht="9" customHeight="1" thickBot="1">
      <c r="A36" s="16" t="s">
        <v>20</v>
      </c>
      <c r="B36" s="233"/>
      <c r="C36" s="233"/>
      <c r="D36" s="233"/>
      <c r="E36" s="233"/>
      <c r="F36" s="233"/>
    </row>
    <row r="37" spans="1:6" ht="23" customHeight="1" thickBot="1">
      <c r="A37" s="9" t="s">
        <v>25</v>
      </c>
      <c r="B37" s="25"/>
      <c r="C37" s="25"/>
      <c r="D37" s="25">
        <f>2</f>
        <v>2</v>
      </c>
      <c r="E37" s="25">
        <f>11</f>
        <v>11</v>
      </c>
      <c r="F37" s="19">
        <f t="shared" si="1"/>
        <v>13</v>
      </c>
    </row>
    <row r="38" spans="1:6" ht="23" customHeight="1" thickBot="1">
      <c r="A38" s="11" t="s">
        <v>59</v>
      </c>
      <c r="B38" s="25"/>
      <c r="C38" s="25"/>
      <c r="D38" s="25"/>
      <c r="E38" s="25"/>
      <c r="F38" s="20">
        <f t="shared" si="1"/>
        <v>0</v>
      </c>
    </row>
    <row r="39" spans="1:6" ht="23" customHeight="1" thickBot="1">
      <c r="A39" s="11" t="s">
        <v>62</v>
      </c>
      <c r="B39" s="25"/>
      <c r="C39" s="25"/>
      <c r="D39" s="25">
        <f>3</f>
        <v>3</v>
      </c>
      <c r="E39" s="25">
        <f>10</f>
        <v>10</v>
      </c>
      <c r="F39" s="20">
        <f t="shared" si="1"/>
        <v>13</v>
      </c>
    </row>
    <row r="40" spans="1:6" ht="23" customHeight="1" thickBot="1">
      <c r="A40" s="11" t="s">
        <v>60</v>
      </c>
      <c r="B40" s="25"/>
      <c r="C40" s="25"/>
      <c r="D40" s="25"/>
      <c r="E40" s="25"/>
      <c r="F40" s="20">
        <f t="shared" si="1"/>
        <v>0</v>
      </c>
    </row>
    <row r="41" spans="1:6" ht="23" customHeight="1" thickBot="1">
      <c r="A41" s="11" t="s">
        <v>61</v>
      </c>
      <c r="B41" s="25"/>
      <c r="C41" s="25"/>
      <c r="D41" s="25">
        <f>3</f>
        <v>3</v>
      </c>
      <c r="E41" s="25">
        <f>10</f>
        <v>10</v>
      </c>
      <c r="F41" s="20">
        <f t="shared" si="1"/>
        <v>13</v>
      </c>
    </row>
    <row r="42" spans="1:6" ht="23" customHeight="1" thickBot="1">
      <c r="A42" s="9" t="s">
        <v>26</v>
      </c>
      <c r="B42" s="25"/>
      <c r="C42" s="25"/>
      <c r="D42" s="25">
        <f>3</f>
        <v>3</v>
      </c>
      <c r="E42" s="25">
        <f>10</f>
        <v>10</v>
      </c>
      <c r="F42" s="20">
        <f t="shared" si="1"/>
        <v>13</v>
      </c>
    </row>
    <row r="43" spans="1:6">
      <c r="F43" s="17"/>
    </row>
    <row r="44" spans="1:6" ht="9" customHeight="1"/>
    <row r="51" spans="9:14" ht="17">
      <c r="I51" s="211" t="s">
        <v>121</v>
      </c>
      <c r="J51" s="21" t="s">
        <v>43</v>
      </c>
      <c r="K51" s="21" t="s">
        <v>42</v>
      </c>
      <c r="L51" s="214" t="s">
        <v>118</v>
      </c>
      <c r="M51" s="215"/>
      <c r="N51" s="215"/>
    </row>
    <row r="52" spans="9:14" ht="26">
      <c r="I52" s="210" t="s">
        <v>26</v>
      </c>
      <c r="J52" s="216">
        <f>J53/N53</f>
        <v>0</v>
      </c>
      <c r="K52" s="212">
        <f>K53/N53</f>
        <v>0</v>
      </c>
      <c r="L52" s="212">
        <f>L53/N53</f>
        <v>1</v>
      </c>
      <c r="M52" s="212"/>
      <c r="N52" s="213">
        <f>J52+K52+L52+M52</f>
        <v>1</v>
      </c>
    </row>
    <row r="53" spans="9:14">
      <c r="J53" s="208">
        <f>B42</f>
        <v>0</v>
      </c>
      <c r="K53" s="208">
        <f>C42</f>
        <v>0</v>
      </c>
      <c r="L53" s="208">
        <f>D42+E42</f>
        <v>13</v>
      </c>
      <c r="M53" s="208"/>
      <c r="N53" s="209">
        <f>K53+L53+M53+J53</f>
        <v>13</v>
      </c>
    </row>
    <row r="57" spans="9:14">
      <c r="J57" s="81"/>
      <c r="K57" s="81"/>
      <c r="L57" s="80"/>
      <c r="M57" s="81"/>
    </row>
    <row r="58" spans="9:14">
      <c r="I58" s="207"/>
      <c r="J58" s="197"/>
      <c r="K58" s="197"/>
      <c r="L58" s="197"/>
      <c r="M58" s="197"/>
      <c r="N58" s="197"/>
    </row>
    <row r="59" spans="9:14">
      <c r="I59" s="206"/>
    </row>
    <row r="83" spans="9:14" ht="17">
      <c r="I83" s="211" t="s">
        <v>121</v>
      </c>
      <c r="J83" s="21" t="s">
        <v>43</v>
      </c>
      <c r="K83" s="21" t="s">
        <v>42</v>
      </c>
      <c r="L83" s="214" t="s">
        <v>118</v>
      </c>
      <c r="M83" s="215"/>
      <c r="N83" s="215"/>
    </row>
    <row r="84" spans="9:14" ht="26">
      <c r="I84" s="210" t="s">
        <v>18</v>
      </c>
      <c r="J84" s="216">
        <f>J85/N85</f>
        <v>0</v>
      </c>
      <c r="K84" s="212">
        <f>K85/N85</f>
        <v>0</v>
      </c>
      <c r="L84" s="212">
        <f>L85/N85</f>
        <v>1</v>
      </c>
      <c r="M84" s="212"/>
      <c r="N84" s="213">
        <f>J84+K84+L84+M84</f>
        <v>1</v>
      </c>
    </row>
    <row r="85" spans="9:14">
      <c r="J85" s="208">
        <f>B25</f>
        <v>0</v>
      </c>
      <c r="K85" s="208">
        <f>C25</f>
        <v>0</v>
      </c>
      <c r="L85" s="208">
        <f>D25+E25</f>
        <v>13</v>
      </c>
      <c r="M85" s="209"/>
      <c r="N85" s="209">
        <f>K85+L85+M85+J85</f>
        <v>13</v>
      </c>
    </row>
  </sheetData>
  <mergeCells count="16">
    <mergeCell ref="B26:B29"/>
    <mergeCell ref="C26:C29"/>
    <mergeCell ref="D26:D29"/>
    <mergeCell ref="E26:E29"/>
    <mergeCell ref="F26:F29"/>
    <mergeCell ref="B33:B36"/>
    <mergeCell ref="C33:C36"/>
    <mergeCell ref="D33:D36"/>
    <mergeCell ref="E33:E36"/>
    <mergeCell ref="F33:F36"/>
    <mergeCell ref="F17:F20"/>
    <mergeCell ref="A1:D1"/>
    <mergeCell ref="B17:B20"/>
    <mergeCell ref="C17:C20"/>
    <mergeCell ref="D17:D20"/>
    <mergeCell ref="E17:E20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pratiques religieuses</vt:lpstr>
      <vt:lpstr>genre</vt:lpstr>
      <vt:lpstr>racisme</vt:lpstr>
      <vt:lpstr>famille</vt:lpstr>
      <vt:lpstr>environnement</vt:lpstr>
      <vt:lpstr>différents âge vie</vt:lpstr>
      <vt:lpstr>migrations</vt:lpstr>
      <vt:lpstr>maladie</vt:lpstr>
      <vt:lpstr>plurilinguisme</vt:lpstr>
      <vt:lpstr>discours de haine</vt:lpstr>
      <vt:lpstr>interculturalité</vt:lpstr>
      <vt:lpstr>RECAPITULATIF</vt:lpstr>
      <vt:lpstr>GRAPHIQUES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Marion Goulier</cp:lastModifiedBy>
  <cp:lastPrinted>2024-07-26T09:05:34Z</cp:lastPrinted>
  <dcterms:created xsi:type="dcterms:W3CDTF">2021-09-20T07:56:11Z</dcterms:created>
  <dcterms:modified xsi:type="dcterms:W3CDTF">2026-06-09T08:11:40Z</dcterms:modified>
</cp:coreProperties>
</file>